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3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 xml:space="preserve">Nebraska Holdings 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No</t>
        </is>
      </c>
      <c r="B2" t="inlineStr">
        <is>
          <t>CURAL</t>
        </is>
      </c>
      <c r="C2" t="inlineStr">
        <is>
          <t>SHELVES</t>
        </is>
      </c>
      <c r="D2" t="inlineStr">
        <is>
          <t>PQ101 .D7</t>
        </is>
      </c>
      <c r="E2" t="inlineStr">
        <is>
          <t>0                      PQ 0101000D  7</t>
        </is>
      </c>
      <c r="F2" t="inlineStr">
        <is>
          <t>Bibliographie de la littérature française, 1940-1949: complément à la bibliographie de H. P. Thieme.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Drevet, Marguerite L.</t>
        </is>
      </c>
      <c r="N2" t="inlineStr">
        <is>
          <t>Genève, Librairie E. Droz, 1954.</t>
        </is>
      </c>
      <c r="O2" t="inlineStr">
        <is>
          <t>1954</t>
        </is>
      </c>
      <c r="Q2" t="inlineStr">
        <is>
          <t>fre</t>
        </is>
      </c>
      <c r="R2" t="inlineStr">
        <is>
          <t xml:space="preserve">sz </t>
        </is>
      </c>
      <c r="T2" t="inlineStr">
        <is>
          <t xml:space="preserve">PQ </t>
        </is>
      </c>
      <c r="U2" t="n">
        <v>1</v>
      </c>
      <c r="V2" t="n">
        <v>1</v>
      </c>
      <c r="W2" t="inlineStr">
        <is>
          <t>1995-04-04</t>
        </is>
      </c>
      <c r="X2" t="inlineStr">
        <is>
          <t>1995-04-04</t>
        </is>
      </c>
      <c r="Y2" t="inlineStr">
        <is>
          <t>1992-08-03</t>
        </is>
      </c>
      <c r="Z2" t="inlineStr">
        <is>
          <t>1992-08-03</t>
        </is>
      </c>
      <c r="AA2" t="n">
        <v>318</v>
      </c>
      <c r="AB2" t="n">
        <v>212</v>
      </c>
      <c r="AC2" t="n">
        <v>213</v>
      </c>
      <c r="AD2" t="n">
        <v>3</v>
      </c>
      <c r="AE2" t="n">
        <v>3</v>
      </c>
      <c r="AF2" t="n">
        <v>13</v>
      </c>
      <c r="AG2" t="n">
        <v>13</v>
      </c>
      <c r="AH2" t="n">
        <v>1</v>
      </c>
      <c r="AI2" t="n">
        <v>1</v>
      </c>
      <c r="AJ2" t="n">
        <v>3</v>
      </c>
      <c r="AK2" t="n">
        <v>3</v>
      </c>
      <c r="AL2" t="n">
        <v>9</v>
      </c>
      <c r="AM2" t="n">
        <v>9</v>
      </c>
      <c r="AN2" t="n">
        <v>2</v>
      </c>
      <c r="AO2" t="n">
        <v>2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HYPERLINK("https://creighton-primo.hosted.exlibrisgroup.com/primo-explore/search?tab=default_tab&amp;search_scope=EVERYTHING&amp;vid=01CRU&amp;lang=en_US&amp;offset=0&amp;query=any,contains,991003698499702656","Catalog Record")</f>
        <v/>
      </c>
      <c r="AV2">
        <f>HYPERLINK("http://www.worldcat.org/oclc/1332798","WorldCat Record")</f>
        <v/>
      </c>
      <c r="AW2" t="inlineStr">
        <is>
          <t>2219285:fre</t>
        </is>
      </c>
      <c r="AX2" t="inlineStr">
        <is>
          <t>1332798</t>
        </is>
      </c>
      <c r="AY2" t="inlineStr">
        <is>
          <t>991003698499702656</t>
        </is>
      </c>
      <c r="AZ2" t="inlineStr">
        <is>
          <t>991003698499702656</t>
        </is>
      </c>
      <c r="BA2" t="inlineStr">
        <is>
          <t>2259983230002656</t>
        </is>
      </c>
      <c r="BB2" t="inlineStr">
        <is>
          <t>BOOK</t>
        </is>
      </c>
      <c r="BE2" t="inlineStr">
        <is>
          <t>32285001250660</t>
        </is>
      </c>
      <c r="BF2" t="inlineStr">
        <is>
          <t>893775053</t>
        </is>
      </c>
    </row>
    <row r="3">
      <c r="A3" t="inlineStr">
        <is>
          <t>No</t>
        </is>
      </c>
      <c r="B3" t="inlineStr">
        <is>
          <t>CURAL</t>
        </is>
      </c>
      <c r="C3" t="inlineStr">
        <is>
          <t>SHELVES</t>
        </is>
      </c>
      <c r="D3" t="inlineStr">
        <is>
          <t>PQ101 .L58 1992b</t>
        </is>
      </c>
      <c r="E3" t="inlineStr">
        <is>
          <t>0                      PQ 0101000L  58          1992b</t>
        </is>
      </c>
      <c r="F3" t="inlineStr">
        <is>
          <t>Littérature francophone : anthologie / par un ensemble de professeurs francophones sous la direction de Jean-Louis Joubert.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N3" t="inlineStr">
        <is>
          <t>Nathan : Agence de Coopération Culturelle et Technique ; New York, N.Y. : Gessler, c1992.</t>
        </is>
      </c>
      <c r="O3" t="inlineStr">
        <is>
          <t>1992</t>
        </is>
      </c>
      <c r="Q3" t="inlineStr">
        <is>
          <t>fre</t>
        </is>
      </c>
      <c r="R3" t="inlineStr">
        <is>
          <t xml:space="preserve">fr </t>
        </is>
      </c>
      <c r="T3" t="inlineStr">
        <is>
          <t xml:space="preserve">PQ </t>
        </is>
      </c>
      <c r="U3" t="n">
        <v>8</v>
      </c>
      <c r="V3" t="n">
        <v>8</v>
      </c>
      <c r="W3" t="inlineStr">
        <is>
          <t>2000-01-07</t>
        </is>
      </c>
      <c r="X3" t="inlineStr">
        <is>
          <t>2000-01-07</t>
        </is>
      </c>
      <c r="Y3" t="inlineStr">
        <is>
          <t>1996-08-23</t>
        </is>
      </c>
      <c r="Z3" t="inlineStr">
        <is>
          <t>1996-08-23</t>
        </is>
      </c>
      <c r="AA3" t="n">
        <v>204</v>
      </c>
      <c r="AB3" t="n">
        <v>150</v>
      </c>
      <c r="AC3" t="n">
        <v>152</v>
      </c>
      <c r="AD3" t="n">
        <v>2</v>
      </c>
      <c r="AE3" t="n">
        <v>2</v>
      </c>
      <c r="AF3" t="n">
        <v>6</v>
      </c>
      <c r="AG3" t="n">
        <v>6</v>
      </c>
      <c r="AH3" t="n">
        <v>2</v>
      </c>
      <c r="AI3" t="n">
        <v>2</v>
      </c>
      <c r="AJ3" t="n">
        <v>2</v>
      </c>
      <c r="AK3" t="n">
        <v>2</v>
      </c>
      <c r="AL3" t="n">
        <v>1</v>
      </c>
      <c r="AM3" t="n">
        <v>1</v>
      </c>
      <c r="AN3" t="n">
        <v>1</v>
      </c>
      <c r="AO3" t="n">
        <v>1</v>
      </c>
      <c r="AP3" t="n">
        <v>0</v>
      </c>
      <c r="AQ3" t="n">
        <v>0</v>
      </c>
      <c r="AR3" t="inlineStr">
        <is>
          <t>No</t>
        </is>
      </c>
      <c r="AS3" t="inlineStr">
        <is>
          <t>No</t>
        </is>
      </c>
      <c r="AU3">
        <f>HYPERLINK("https://creighton-primo.hosted.exlibrisgroup.com/primo-explore/search?tab=default_tab&amp;search_scope=EVERYTHING&amp;vid=01CRU&amp;lang=en_US&amp;offset=0&amp;query=any,contains,991002497339702656","Catalog Record")</f>
        <v/>
      </c>
      <c r="AV3">
        <f>HYPERLINK("http://www.worldcat.org/oclc/32477465","WorldCat Record")</f>
        <v/>
      </c>
      <c r="AW3" t="inlineStr">
        <is>
          <t>889735458:fre</t>
        </is>
      </c>
      <c r="AX3" t="inlineStr">
        <is>
          <t>32477465</t>
        </is>
      </c>
      <c r="AY3" t="inlineStr">
        <is>
          <t>991002497339702656</t>
        </is>
      </c>
      <c r="AZ3" t="inlineStr">
        <is>
          <t>991002497339702656</t>
        </is>
      </c>
      <c r="BA3" t="inlineStr">
        <is>
          <t>2266435880002656</t>
        </is>
      </c>
      <c r="BB3" t="inlineStr">
        <is>
          <t>BOOK</t>
        </is>
      </c>
      <c r="BD3" t="inlineStr">
        <is>
          <t>9782288824011</t>
        </is>
      </c>
      <c r="BE3" t="inlineStr">
        <is>
          <t>32285002291945</t>
        </is>
      </c>
      <c r="BF3" t="inlineStr">
        <is>
          <t>893498187</t>
        </is>
      </c>
    </row>
    <row r="4">
      <c r="A4" t="inlineStr">
        <is>
          <t>No</t>
        </is>
      </c>
      <c r="B4" t="inlineStr">
        <is>
          <t>CURAL</t>
        </is>
      </c>
      <c r="C4" t="inlineStr">
        <is>
          <t>SHELVES</t>
        </is>
      </c>
      <c r="D4" t="inlineStr">
        <is>
          <t>PQ1107 .V65 1990</t>
        </is>
      </c>
      <c r="E4" t="inlineStr">
        <is>
          <t>0                      PQ 1107000V  65          1990</t>
        </is>
      </c>
      <c r="F4" t="inlineStr">
        <is>
          <t>Voix de femmes : écritures de femmes dans la littérature française du XIX-XXe s. / textes choisis et présentés par Claire-Lise Tondeur.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Lanham [Md.] : University Press of America, c1990.</t>
        </is>
      </c>
      <c r="O4" t="inlineStr">
        <is>
          <t>1990</t>
        </is>
      </c>
      <c r="Q4" t="inlineStr">
        <is>
          <t>fre</t>
        </is>
      </c>
      <c r="R4" t="inlineStr">
        <is>
          <t>mdu</t>
        </is>
      </c>
      <c r="T4" t="inlineStr">
        <is>
          <t xml:space="preserve">PQ </t>
        </is>
      </c>
      <c r="U4" t="n">
        <v>3</v>
      </c>
      <c r="V4" t="n">
        <v>3</v>
      </c>
      <c r="W4" t="inlineStr">
        <is>
          <t>1998-05-13</t>
        </is>
      </c>
      <c r="X4" t="inlineStr">
        <is>
          <t>1998-05-13</t>
        </is>
      </c>
      <c r="Y4" t="inlineStr">
        <is>
          <t>1992-04-08</t>
        </is>
      </c>
      <c r="Z4" t="inlineStr">
        <is>
          <t>1992-04-08</t>
        </is>
      </c>
      <c r="AA4" t="n">
        <v>269</v>
      </c>
      <c r="AB4" t="n">
        <v>240</v>
      </c>
      <c r="AC4" t="n">
        <v>247</v>
      </c>
      <c r="AD4" t="n">
        <v>2</v>
      </c>
      <c r="AE4" t="n">
        <v>2</v>
      </c>
      <c r="AF4" t="n">
        <v>12</v>
      </c>
      <c r="AG4" t="n">
        <v>12</v>
      </c>
      <c r="AH4" t="n">
        <v>5</v>
      </c>
      <c r="AI4" t="n">
        <v>5</v>
      </c>
      <c r="AJ4" t="n">
        <v>4</v>
      </c>
      <c r="AK4" t="n">
        <v>4</v>
      </c>
      <c r="AL4" t="n">
        <v>6</v>
      </c>
      <c r="AM4" t="n">
        <v>6</v>
      </c>
      <c r="AN4" t="n">
        <v>1</v>
      </c>
      <c r="AO4" t="n">
        <v>1</v>
      </c>
      <c r="AP4" t="n">
        <v>0</v>
      </c>
      <c r="AQ4" t="n">
        <v>0</v>
      </c>
      <c r="AR4" t="inlineStr">
        <is>
          <t>No</t>
        </is>
      </c>
      <c r="AS4" t="inlineStr">
        <is>
          <t>Yes</t>
        </is>
      </c>
      <c r="AT4">
        <f>HYPERLINK("http://catalog.hathitrust.org/Record/002473507","HathiTrust Record")</f>
        <v/>
      </c>
      <c r="AU4">
        <f>HYPERLINK("https://creighton-primo.hosted.exlibrisgroup.com/primo-explore/search?tab=default_tab&amp;search_scope=EVERYTHING&amp;vid=01CRU&amp;lang=en_US&amp;offset=0&amp;query=any,contains,991001672539702656","Catalog Record")</f>
        <v/>
      </c>
      <c r="AV4">
        <f>HYPERLINK("http://www.worldcat.org/oclc/21298612","WorldCat Record")</f>
        <v/>
      </c>
      <c r="AW4" t="inlineStr">
        <is>
          <t>908312999:fre</t>
        </is>
      </c>
      <c r="AX4" t="inlineStr">
        <is>
          <t>21298612</t>
        </is>
      </c>
      <c r="AY4" t="inlineStr">
        <is>
          <t>991001672539702656</t>
        </is>
      </c>
      <c r="AZ4" t="inlineStr">
        <is>
          <t>991001672539702656</t>
        </is>
      </c>
      <c r="BA4" t="inlineStr">
        <is>
          <t>2261601190002656</t>
        </is>
      </c>
      <c r="BB4" t="inlineStr">
        <is>
          <t>BOOK</t>
        </is>
      </c>
      <c r="BD4" t="inlineStr">
        <is>
          <t>9780819177933</t>
        </is>
      </c>
      <c r="BE4" t="inlineStr">
        <is>
          <t>32285001008969</t>
        </is>
      </c>
      <c r="BF4" t="inlineStr">
        <is>
          <t>893772786</t>
        </is>
      </c>
    </row>
    <row r="5">
      <c r="A5" t="inlineStr">
        <is>
          <t>No</t>
        </is>
      </c>
      <c r="B5" t="inlineStr">
        <is>
          <t>CURAL</t>
        </is>
      </c>
      <c r="C5" t="inlineStr">
        <is>
          <t>SHELVES</t>
        </is>
      </c>
      <c r="D5" t="inlineStr">
        <is>
          <t>PQ1136 .B7</t>
        </is>
      </c>
      <c r="E5" t="inlineStr">
        <is>
          <t>0                      PQ 1136000B  7</t>
        </is>
      </c>
      <c r="F5" t="inlineStr">
        <is>
          <t>French literature of the nineteenth century / edited by Robert Foster Bradley and Robert Bell Michell.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M5" t="inlineStr">
        <is>
          <t>Bradley, Robert Foster, editor.</t>
        </is>
      </c>
      <c r="N5" t="inlineStr">
        <is>
          <t>New York : F.S. Crofts &amp; Co., 1935.</t>
        </is>
      </c>
      <c r="O5" t="inlineStr">
        <is>
          <t>1935</t>
        </is>
      </c>
      <c r="Q5" t="inlineStr">
        <is>
          <t>eng</t>
        </is>
      </c>
      <c r="R5" t="inlineStr">
        <is>
          <t>nyu</t>
        </is>
      </c>
      <c r="T5" t="inlineStr">
        <is>
          <t xml:space="preserve">PQ </t>
        </is>
      </c>
      <c r="U5" t="n">
        <v>2</v>
      </c>
      <c r="V5" t="n">
        <v>2</v>
      </c>
      <c r="W5" t="inlineStr">
        <is>
          <t>2002-04-24</t>
        </is>
      </c>
      <c r="X5" t="inlineStr">
        <is>
          <t>2002-04-24</t>
        </is>
      </c>
      <c r="Y5" t="inlineStr">
        <is>
          <t>1995-05-02</t>
        </is>
      </c>
      <c r="Z5" t="inlineStr">
        <is>
          <t>1995-05-02</t>
        </is>
      </c>
      <c r="AA5" t="n">
        <v>281</v>
      </c>
      <c r="AB5" t="n">
        <v>274</v>
      </c>
      <c r="AC5" t="n">
        <v>292</v>
      </c>
      <c r="AD5" t="n">
        <v>4</v>
      </c>
      <c r="AE5" t="n">
        <v>4</v>
      </c>
      <c r="AF5" t="n">
        <v>20</v>
      </c>
      <c r="AG5" t="n">
        <v>20</v>
      </c>
      <c r="AH5" t="n">
        <v>6</v>
      </c>
      <c r="AI5" t="n">
        <v>6</v>
      </c>
      <c r="AJ5" t="n">
        <v>4</v>
      </c>
      <c r="AK5" t="n">
        <v>4</v>
      </c>
      <c r="AL5" t="n">
        <v>11</v>
      </c>
      <c r="AM5" t="n">
        <v>11</v>
      </c>
      <c r="AN5" t="n">
        <v>3</v>
      </c>
      <c r="AO5" t="n">
        <v>3</v>
      </c>
      <c r="AP5" t="n">
        <v>0</v>
      </c>
      <c r="AQ5" t="n">
        <v>0</v>
      </c>
      <c r="AR5" t="inlineStr">
        <is>
          <t>No</t>
        </is>
      </c>
      <c r="AS5" t="inlineStr">
        <is>
          <t>No</t>
        </is>
      </c>
      <c r="AT5">
        <f>HYPERLINK("http://catalog.hathitrust.org/Record/009970932","HathiTrust Record")</f>
        <v/>
      </c>
      <c r="AU5">
        <f>HYPERLINK("https://creighton-primo.hosted.exlibrisgroup.com/primo-explore/search?tab=default_tab&amp;search_scope=EVERYTHING&amp;vid=01CRU&amp;lang=en_US&amp;offset=0&amp;query=any,contains,991002415209702656","Catalog Record")</f>
        <v/>
      </c>
      <c r="AV5">
        <f>HYPERLINK("http://www.worldcat.org/oclc/341481","WorldCat Record")</f>
        <v/>
      </c>
      <c r="AW5" t="inlineStr">
        <is>
          <t>1479117:eng</t>
        </is>
      </c>
      <c r="AX5" t="inlineStr">
        <is>
          <t>341481</t>
        </is>
      </c>
      <c r="AY5" t="inlineStr">
        <is>
          <t>991002415209702656</t>
        </is>
      </c>
      <c r="AZ5" t="inlineStr">
        <is>
          <t>991002415209702656</t>
        </is>
      </c>
      <c r="BA5" t="inlineStr">
        <is>
          <t>2265676240002656</t>
        </is>
      </c>
      <c r="BB5" t="inlineStr">
        <is>
          <t>BOOK</t>
        </is>
      </c>
      <c r="BE5" t="inlineStr">
        <is>
          <t>32285002031119</t>
        </is>
      </c>
      <c r="BF5" t="inlineStr">
        <is>
          <t>893421324</t>
        </is>
      </c>
    </row>
    <row r="6">
      <c r="A6" t="inlineStr">
        <is>
          <t>No</t>
        </is>
      </c>
      <c r="B6" t="inlineStr">
        <is>
          <t>CURAL</t>
        </is>
      </c>
      <c r="C6" t="inlineStr">
        <is>
          <t>SHELVES</t>
        </is>
      </c>
      <c r="D6" t="inlineStr">
        <is>
          <t>PQ1141 .B56</t>
        </is>
      </c>
      <c r="E6" t="inlineStr">
        <is>
          <t>0                      PQ 1141000B  56</t>
        </is>
      </c>
      <c r="F6" t="inlineStr">
        <is>
          <t>Une anthologie vivante de la littérature d'aujourd'hui [1945-1965]</t>
        </is>
      </c>
      <c r="G6" t="inlineStr">
        <is>
          <t>V.2</t>
        </is>
      </c>
      <c r="H6" t="inlineStr">
        <is>
          <t>Yes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M6" t="inlineStr">
        <is>
          <t>Boisdeffre, Pierre de editor.</t>
        </is>
      </c>
      <c r="N6" t="inlineStr">
        <is>
          <t>Paris, Perrin [1965-66]</t>
        </is>
      </c>
      <c r="O6" t="inlineStr">
        <is>
          <t>1965</t>
        </is>
      </c>
      <c r="Q6" t="inlineStr">
        <is>
          <t>fre</t>
        </is>
      </c>
      <c r="R6" t="inlineStr">
        <is>
          <t xml:space="preserve">fr </t>
        </is>
      </c>
      <c r="T6" t="inlineStr">
        <is>
          <t xml:space="preserve">PQ </t>
        </is>
      </c>
      <c r="U6" t="n">
        <v>1</v>
      </c>
      <c r="V6" t="n">
        <v>1</v>
      </c>
      <c r="W6" t="inlineStr">
        <is>
          <t>1992-12-08</t>
        </is>
      </c>
      <c r="X6" t="inlineStr">
        <is>
          <t>1992-12-08</t>
        </is>
      </c>
      <c r="Y6" t="inlineStr">
        <is>
          <t>1992-12-05</t>
        </is>
      </c>
      <c r="Z6" t="inlineStr">
        <is>
          <t>1995-08-28</t>
        </is>
      </c>
      <c r="AA6" t="n">
        <v>338</v>
      </c>
      <c r="AB6" t="n">
        <v>295</v>
      </c>
      <c r="AC6" t="n">
        <v>302</v>
      </c>
      <c r="AD6" t="n">
        <v>4</v>
      </c>
      <c r="AE6" t="n">
        <v>4</v>
      </c>
      <c r="AF6" t="n">
        <v>14</v>
      </c>
      <c r="AG6" t="n">
        <v>14</v>
      </c>
      <c r="AH6" t="n">
        <v>4</v>
      </c>
      <c r="AI6" t="n">
        <v>4</v>
      </c>
      <c r="AJ6" t="n">
        <v>3</v>
      </c>
      <c r="AK6" t="n">
        <v>3</v>
      </c>
      <c r="AL6" t="n">
        <v>9</v>
      </c>
      <c r="AM6" t="n">
        <v>9</v>
      </c>
      <c r="AN6" t="n">
        <v>3</v>
      </c>
      <c r="AO6" t="n">
        <v>3</v>
      </c>
      <c r="AP6" t="n">
        <v>0</v>
      </c>
      <c r="AQ6" t="n">
        <v>0</v>
      </c>
      <c r="AR6" t="inlineStr">
        <is>
          <t>No</t>
        </is>
      </c>
      <c r="AS6" t="inlineStr">
        <is>
          <t>Yes</t>
        </is>
      </c>
      <c r="AT6">
        <f>HYPERLINK("http://catalog.hathitrust.org/Record/001957743","HathiTrust Record")</f>
        <v/>
      </c>
      <c r="AU6">
        <f>HYPERLINK("https://creighton-primo.hosted.exlibrisgroup.com/primo-explore/search?tab=default_tab&amp;search_scope=EVERYTHING&amp;vid=01CRU&amp;lang=en_US&amp;offset=0&amp;query=any,contains,991001988939702656","Catalog Record")</f>
        <v/>
      </c>
      <c r="AV6">
        <f>HYPERLINK("http://www.worldcat.org/oclc/254891","WorldCat Record")</f>
        <v/>
      </c>
      <c r="AW6" t="inlineStr">
        <is>
          <t>1255312938:fre</t>
        </is>
      </c>
      <c r="AX6" t="inlineStr">
        <is>
          <t>254891</t>
        </is>
      </c>
      <c r="AY6" t="inlineStr">
        <is>
          <t>991001988939702656</t>
        </is>
      </c>
      <c r="AZ6" t="inlineStr">
        <is>
          <t>991001988939702656</t>
        </is>
      </c>
      <c r="BA6" t="inlineStr">
        <is>
          <t>2269373100002656</t>
        </is>
      </c>
      <c r="BB6" t="inlineStr">
        <is>
          <t>BOOK</t>
        </is>
      </c>
      <c r="BE6" t="inlineStr">
        <is>
          <t>32285001439743</t>
        </is>
      </c>
      <c r="BF6" t="inlineStr">
        <is>
          <t>893809261</t>
        </is>
      </c>
    </row>
    <row r="7">
      <c r="A7" t="inlineStr">
        <is>
          <t>No</t>
        </is>
      </c>
      <c r="B7" t="inlineStr">
        <is>
          <t>CURAL</t>
        </is>
      </c>
      <c r="C7" t="inlineStr">
        <is>
          <t>SHELVES</t>
        </is>
      </c>
      <c r="D7" t="inlineStr">
        <is>
          <t>PQ116 .D48 1994</t>
        </is>
      </c>
      <c r="E7" t="inlineStr">
        <is>
          <t>0                      PQ 0116000D  48          1994</t>
        </is>
      </c>
      <c r="F7" t="inlineStr">
        <is>
          <t>La littérature française au fil des siècles / par Pierre Deshusses, Léon Karlson.</t>
        </is>
      </c>
      <c r="G7" t="inlineStr">
        <is>
          <t>V.2</t>
        </is>
      </c>
      <c r="H7" t="inlineStr">
        <is>
          <t>Yes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Deshusses, Pierre.</t>
        </is>
      </c>
      <c r="N7" t="inlineStr">
        <is>
          <t>Paris : Bordas, c1994.</t>
        </is>
      </c>
      <c r="O7" t="inlineStr">
        <is>
          <t>1994</t>
        </is>
      </c>
      <c r="Q7" t="inlineStr">
        <is>
          <t>fre</t>
        </is>
      </c>
      <c r="R7" t="inlineStr">
        <is>
          <t xml:space="preserve">fr </t>
        </is>
      </c>
      <c r="T7" t="inlineStr">
        <is>
          <t xml:space="preserve">PQ </t>
        </is>
      </c>
      <c r="U7" t="n">
        <v>0</v>
      </c>
      <c r="V7" t="n">
        <v>2</v>
      </c>
      <c r="X7" t="inlineStr">
        <is>
          <t>1996-09-13</t>
        </is>
      </c>
      <c r="Y7" t="inlineStr">
        <is>
          <t>1996-06-24</t>
        </is>
      </c>
      <c r="Z7" t="inlineStr">
        <is>
          <t>1996-06-24</t>
        </is>
      </c>
      <c r="AA7" t="n">
        <v>35</v>
      </c>
      <c r="AB7" t="n">
        <v>11</v>
      </c>
      <c r="AC7" t="n">
        <v>24</v>
      </c>
      <c r="AD7" t="n">
        <v>1</v>
      </c>
      <c r="AE7" t="n">
        <v>1</v>
      </c>
      <c r="AF7" t="n">
        <v>1</v>
      </c>
      <c r="AG7" t="n">
        <v>1</v>
      </c>
      <c r="AH7" t="n">
        <v>0</v>
      </c>
      <c r="AI7" t="n">
        <v>0</v>
      </c>
      <c r="AJ7" t="n">
        <v>1</v>
      </c>
      <c r="AK7" t="n">
        <v>1</v>
      </c>
      <c r="AL7" t="n">
        <v>1</v>
      </c>
      <c r="AM7" t="n">
        <v>1</v>
      </c>
      <c r="AN7" t="n">
        <v>0</v>
      </c>
      <c r="AO7" t="n">
        <v>0</v>
      </c>
      <c r="AP7" t="n">
        <v>0</v>
      </c>
      <c r="AQ7" t="n">
        <v>0</v>
      </c>
      <c r="AR7" t="inlineStr">
        <is>
          <t>No</t>
        </is>
      </c>
      <c r="AS7" t="inlineStr">
        <is>
          <t>No</t>
        </is>
      </c>
      <c r="AU7">
        <f>HYPERLINK("https://creighton-primo.hosted.exlibrisgroup.com/primo-explore/search?tab=default_tab&amp;search_scope=EVERYTHING&amp;vid=01CRU&amp;lang=en_US&amp;offset=0&amp;query=any,contains,991002441879702656","Catalog Record")</f>
        <v/>
      </c>
      <c r="AV7">
        <f>HYPERLINK("http://www.worldcat.org/oclc/31847108","WorldCat Record")</f>
        <v/>
      </c>
      <c r="AW7" t="inlineStr">
        <is>
          <t>3901654698:fre</t>
        </is>
      </c>
      <c r="AX7" t="inlineStr">
        <is>
          <t>31847108</t>
        </is>
      </c>
      <c r="AY7" t="inlineStr">
        <is>
          <t>991002441879702656</t>
        </is>
      </c>
      <c r="AZ7" t="inlineStr">
        <is>
          <t>991002441879702656</t>
        </is>
      </c>
      <c r="BA7" t="inlineStr">
        <is>
          <t>2259806190002656</t>
        </is>
      </c>
      <c r="BB7" t="inlineStr">
        <is>
          <t>BOOK</t>
        </is>
      </c>
      <c r="BD7" t="inlineStr">
        <is>
          <t>9782288826695</t>
        </is>
      </c>
      <c r="BE7" t="inlineStr">
        <is>
          <t>32285002172285</t>
        </is>
      </c>
      <c r="BF7" t="inlineStr">
        <is>
          <t>893335316</t>
        </is>
      </c>
    </row>
    <row r="8">
      <c r="A8" t="inlineStr">
        <is>
          <t>No</t>
        </is>
      </c>
      <c r="B8" t="inlineStr">
        <is>
          <t>CURAL</t>
        </is>
      </c>
      <c r="C8" t="inlineStr">
        <is>
          <t>SHELVES</t>
        </is>
      </c>
      <c r="D8" t="inlineStr">
        <is>
          <t>PQ116 .D48 1994</t>
        </is>
      </c>
      <c r="E8" t="inlineStr">
        <is>
          <t>0                      PQ 0116000D  48          1994</t>
        </is>
      </c>
      <c r="F8" t="inlineStr">
        <is>
          <t>La littérature française au fil des siècles / par Pierre Deshusses, Léon Karlson.</t>
        </is>
      </c>
      <c r="G8" t="inlineStr">
        <is>
          <t>V.1</t>
        </is>
      </c>
      <c r="H8" t="inlineStr">
        <is>
          <t>Yes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Deshusses, Pierre.</t>
        </is>
      </c>
      <c r="N8" t="inlineStr">
        <is>
          <t>Paris : Bordas, c1994.</t>
        </is>
      </c>
      <c r="O8" t="inlineStr">
        <is>
          <t>1994</t>
        </is>
      </c>
      <c r="Q8" t="inlineStr">
        <is>
          <t>fre</t>
        </is>
      </c>
      <c r="R8" t="inlineStr">
        <is>
          <t xml:space="preserve">fr </t>
        </is>
      </c>
      <c r="T8" t="inlineStr">
        <is>
          <t xml:space="preserve">PQ </t>
        </is>
      </c>
      <c r="U8" t="n">
        <v>2</v>
      </c>
      <c r="V8" t="n">
        <v>2</v>
      </c>
      <c r="W8" t="inlineStr">
        <is>
          <t>1996-09-13</t>
        </is>
      </c>
      <c r="X8" t="inlineStr">
        <is>
          <t>1996-09-13</t>
        </is>
      </c>
      <c r="Y8" t="inlineStr">
        <is>
          <t>1996-06-24</t>
        </is>
      </c>
      <c r="Z8" t="inlineStr">
        <is>
          <t>1996-06-24</t>
        </is>
      </c>
      <c r="AA8" t="n">
        <v>35</v>
      </c>
      <c r="AB8" t="n">
        <v>11</v>
      </c>
      <c r="AC8" t="n">
        <v>24</v>
      </c>
      <c r="AD8" t="n">
        <v>1</v>
      </c>
      <c r="AE8" t="n">
        <v>1</v>
      </c>
      <c r="AF8" t="n">
        <v>1</v>
      </c>
      <c r="AG8" t="n">
        <v>1</v>
      </c>
      <c r="AH8" t="n">
        <v>0</v>
      </c>
      <c r="AI8" t="n">
        <v>0</v>
      </c>
      <c r="AJ8" t="n">
        <v>1</v>
      </c>
      <c r="AK8" t="n">
        <v>1</v>
      </c>
      <c r="AL8" t="n">
        <v>1</v>
      </c>
      <c r="AM8" t="n">
        <v>1</v>
      </c>
      <c r="AN8" t="n">
        <v>0</v>
      </c>
      <c r="AO8" t="n">
        <v>0</v>
      </c>
      <c r="AP8" t="n">
        <v>0</v>
      </c>
      <c r="AQ8" t="n">
        <v>0</v>
      </c>
      <c r="AR8" t="inlineStr">
        <is>
          <t>No</t>
        </is>
      </c>
      <c r="AS8" t="inlineStr">
        <is>
          <t>No</t>
        </is>
      </c>
      <c r="AU8">
        <f>HYPERLINK("https://creighton-primo.hosted.exlibrisgroup.com/primo-explore/search?tab=default_tab&amp;search_scope=EVERYTHING&amp;vid=01CRU&amp;lang=en_US&amp;offset=0&amp;query=any,contains,991002441879702656","Catalog Record")</f>
        <v/>
      </c>
      <c r="AV8">
        <f>HYPERLINK("http://www.worldcat.org/oclc/31847108","WorldCat Record")</f>
        <v/>
      </c>
      <c r="AW8" t="inlineStr">
        <is>
          <t>3901654698:fre</t>
        </is>
      </c>
      <c r="AX8" t="inlineStr">
        <is>
          <t>31847108</t>
        </is>
      </c>
      <c r="AY8" t="inlineStr">
        <is>
          <t>991002441879702656</t>
        </is>
      </c>
      <c r="AZ8" t="inlineStr">
        <is>
          <t>991002441879702656</t>
        </is>
      </c>
      <c r="BA8" t="inlineStr">
        <is>
          <t>2259806190002656</t>
        </is>
      </c>
      <c r="BB8" t="inlineStr">
        <is>
          <t>BOOK</t>
        </is>
      </c>
      <c r="BD8" t="inlineStr">
        <is>
          <t>9782288826695</t>
        </is>
      </c>
      <c r="BE8" t="inlineStr">
        <is>
          <t>32285002172277</t>
        </is>
      </c>
      <c r="BF8" t="inlineStr">
        <is>
          <t>893341445</t>
        </is>
      </c>
    </row>
    <row r="9">
      <c r="A9" t="inlineStr">
        <is>
          <t>No</t>
        </is>
      </c>
      <c r="B9" t="inlineStr">
        <is>
          <t>CURAL</t>
        </is>
      </c>
      <c r="C9" t="inlineStr">
        <is>
          <t>SHELVES</t>
        </is>
      </c>
      <c r="D9" t="inlineStr">
        <is>
          <t>PQ116 .H5</t>
        </is>
      </c>
      <c r="E9" t="inlineStr">
        <is>
          <t>0                      PQ 0116000H  5</t>
        </is>
      </c>
      <c r="F9" t="inlineStr">
        <is>
          <t>Histoire de la littérature française. / par Pierre Brunel [et al.]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N9" t="inlineStr">
        <is>
          <t>Paris ; New York : Bordas, [1972]</t>
        </is>
      </c>
      <c r="O9" t="inlineStr">
        <is>
          <t>1972</t>
        </is>
      </c>
      <c r="Q9" t="inlineStr">
        <is>
          <t>fre</t>
        </is>
      </c>
      <c r="R9" t="inlineStr">
        <is>
          <t xml:space="preserve">fr </t>
        </is>
      </c>
      <c r="T9" t="inlineStr">
        <is>
          <t xml:space="preserve">PQ </t>
        </is>
      </c>
      <c r="U9" t="n">
        <v>3</v>
      </c>
      <c r="V9" t="n">
        <v>3</v>
      </c>
      <c r="W9" t="inlineStr">
        <is>
          <t>1992-11-05</t>
        </is>
      </c>
      <c r="X9" t="inlineStr">
        <is>
          <t>1992-11-05</t>
        </is>
      </c>
      <c r="Y9" t="inlineStr">
        <is>
          <t>1992-08-03</t>
        </is>
      </c>
      <c r="Z9" t="inlineStr">
        <is>
          <t>1992-08-03</t>
        </is>
      </c>
      <c r="AA9" t="n">
        <v>287</v>
      </c>
      <c r="AB9" t="n">
        <v>202</v>
      </c>
      <c r="AC9" t="n">
        <v>333</v>
      </c>
      <c r="AD9" t="n">
        <v>3</v>
      </c>
      <c r="AE9" t="n">
        <v>3</v>
      </c>
      <c r="AF9" t="n">
        <v>15</v>
      </c>
      <c r="AG9" t="n">
        <v>21</v>
      </c>
      <c r="AH9" t="n">
        <v>5</v>
      </c>
      <c r="AI9" t="n">
        <v>7</v>
      </c>
      <c r="AJ9" t="n">
        <v>3</v>
      </c>
      <c r="AK9" t="n">
        <v>6</v>
      </c>
      <c r="AL9" t="n">
        <v>10</v>
      </c>
      <c r="AM9" t="n">
        <v>14</v>
      </c>
      <c r="AN9" t="n">
        <v>2</v>
      </c>
      <c r="AO9" t="n">
        <v>2</v>
      </c>
      <c r="AP9" t="n">
        <v>0</v>
      </c>
      <c r="AQ9" t="n">
        <v>0</v>
      </c>
      <c r="AR9" t="inlineStr">
        <is>
          <t>No</t>
        </is>
      </c>
      <c r="AS9" t="inlineStr">
        <is>
          <t>No</t>
        </is>
      </c>
      <c r="AU9">
        <f>HYPERLINK("https://creighton-primo.hosted.exlibrisgroup.com/primo-explore/search?tab=default_tab&amp;search_scope=EVERYTHING&amp;vid=01CRU&amp;lang=en_US&amp;offset=0&amp;query=any,contains,991003296939702656","Catalog Record")</f>
        <v/>
      </c>
      <c r="AV9">
        <f>HYPERLINK("http://www.worldcat.org/oclc/819853","WorldCat Record")</f>
        <v/>
      </c>
      <c r="AW9" t="inlineStr">
        <is>
          <t>4918947225:fre</t>
        </is>
      </c>
      <c r="AX9" t="inlineStr">
        <is>
          <t>819853</t>
        </is>
      </c>
      <c r="AY9" t="inlineStr">
        <is>
          <t>991003296939702656</t>
        </is>
      </c>
      <c r="AZ9" t="inlineStr">
        <is>
          <t>991003296939702656</t>
        </is>
      </c>
      <c r="BA9" t="inlineStr">
        <is>
          <t>2264446660002656</t>
        </is>
      </c>
      <c r="BB9" t="inlineStr">
        <is>
          <t>BOOK</t>
        </is>
      </c>
      <c r="BE9" t="inlineStr">
        <is>
          <t>32285001250678</t>
        </is>
      </c>
      <c r="BF9" t="inlineStr">
        <is>
          <t>893428649</t>
        </is>
      </c>
    </row>
    <row r="10">
      <c r="A10" t="inlineStr">
        <is>
          <t>No</t>
        </is>
      </c>
      <c r="B10" t="inlineStr">
        <is>
          <t>CURAL</t>
        </is>
      </c>
      <c r="C10" t="inlineStr">
        <is>
          <t>SHELVES</t>
        </is>
      </c>
      <c r="D10" t="inlineStr">
        <is>
          <t>PQ116 .M3</t>
        </is>
      </c>
      <c r="E10" t="inlineStr">
        <is>
          <t>0                      PQ 0116000M  3</t>
        </is>
      </c>
      <c r="F10" t="inlineStr">
        <is>
          <t>De la littérature à l'alittérature.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Mauriac, Claude, 1914-1996.</t>
        </is>
      </c>
      <c r="N10" t="inlineStr">
        <is>
          <t>Paris, B. Grasset, 1969.</t>
        </is>
      </c>
      <c r="O10" t="inlineStr">
        <is>
          <t>1969</t>
        </is>
      </c>
      <c r="Q10" t="inlineStr">
        <is>
          <t>fre</t>
        </is>
      </c>
      <c r="R10" t="inlineStr">
        <is>
          <t xml:space="preserve">fr </t>
        </is>
      </c>
      <c r="T10" t="inlineStr">
        <is>
          <t xml:space="preserve">PQ </t>
        </is>
      </c>
      <c r="U10" t="n">
        <v>1</v>
      </c>
      <c r="V10" t="n">
        <v>1</v>
      </c>
      <c r="W10" t="inlineStr">
        <is>
          <t>1998-05-13</t>
        </is>
      </c>
      <c r="X10" t="inlineStr">
        <is>
          <t>1998-05-13</t>
        </is>
      </c>
      <c r="Y10" t="inlineStr">
        <is>
          <t>1997-04-28</t>
        </is>
      </c>
      <c r="Z10" t="inlineStr">
        <is>
          <t>1997-04-28</t>
        </is>
      </c>
      <c r="AA10" t="n">
        <v>198</v>
      </c>
      <c r="AB10" t="n">
        <v>144</v>
      </c>
      <c r="AC10" t="n">
        <v>147</v>
      </c>
      <c r="AD10" t="n">
        <v>2</v>
      </c>
      <c r="AE10" t="n">
        <v>2</v>
      </c>
      <c r="AF10" t="n">
        <v>8</v>
      </c>
      <c r="AG10" t="n">
        <v>8</v>
      </c>
      <c r="AH10" t="n">
        <v>2</v>
      </c>
      <c r="AI10" t="n">
        <v>2</v>
      </c>
      <c r="AJ10" t="n">
        <v>3</v>
      </c>
      <c r="AK10" t="n">
        <v>3</v>
      </c>
      <c r="AL10" t="n">
        <v>5</v>
      </c>
      <c r="AM10" t="n">
        <v>5</v>
      </c>
      <c r="AN10" t="n">
        <v>1</v>
      </c>
      <c r="AO10" t="n">
        <v>1</v>
      </c>
      <c r="AP10" t="n">
        <v>0</v>
      </c>
      <c r="AQ10" t="n">
        <v>0</v>
      </c>
      <c r="AR10" t="inlineStr">
        <is>
          <t>No</t>
        </is>
      </c>
      <c r="AS10" t="inlineStr">
        <is>
          <t>Yes</t>
        </is>
      </c>
      <c r="AT10">
        <f>HYPERLINK("http://catalog.hathitrust.org/Record/001790567","HathiTrust Record")</f>
        <v/>
      </c>
      <c r="AU10">
        <f>HYPERLINK("https://creighton-primo.hosted.exlibrisgroup.com/primo-explore/search?tab=default_tab&amp;search_scope=EVERYTHING&amp;vid=01CRU&amp;lang=en_US&amp;offset=0&amp;query=any,contains,991003088069702656","Catalog Record")</f>
        <v/>
      </c>
      <c r="AV10">
        <f>HYPERLINK("http://www.worldcat.org/oclc/638259","WorldCat Record")</f>
        <v/>
      </c>
      <c r="AW10" t="inlineStr">
        <is>
          <t>350383560:fre</t>
        </is>
      </c>
      <c r="AX10" t="inlineStr">
        <is>
          <t>638259</t>
        </is>
      </c>
      <c r="AY10" t="inlineStr">
        <is>
          <t>991003088069702656</t>
        </is>
      </c>
      <c r="AZ10" t="inlineStr">
        <is>
          <t>991003088069702656</t>
        </is>
      </c>
      <c r="BA10" t="inlineStr">
        <is>
          <t>2259527850002656</t>
        </is>
      </c>
      <c r="BB10" t="inlineStr">
        <is>
          <t>BOOK</t>
        </is>
      </c>
      <c r="BE10" t="inlineStr">
        <is>
          <t>32285002588530</t>
        </is>
      </c>
      <c r="BF10" t="inlineStr">
        <is>
          <t>893711032</t>
        </is>
      </c>
    </row>
    <row r="11">
      <c r="A11" t="inlineStr">
        <is>
          <t>No</t>
        </is>
      </c>
      <c r="B11" t="inlineStr">
        <is>
          <t>CURAL</t>
        </is>
      </c>
      <c r="C11" t="inlineStr">
        <is>
          <t>SHELVES</t>
        </is>
      </c>
      <c r="D11" t="inlineStr">
        <is>
          <t>PQ1170.E6 B4</t>
        </is>
      </c>
      <c r="E11" t="inlineStr">
        <is>
          <t>0                      PQ 1170000E  6                  B  4</t>
        </is>
      </c>
      <c r="F11" t="inlineStr">
        <is>
          <t>Baudelaire, Rimbaud, Verlaine : selected verse and prose poems / edited, with an introduction, by Joseph M. Bernstein.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Baudelaire, Charles, 1821-1867.</t>
        </is>
      </c>
      <c r="N11" t="inlineStr">
        <is>
          <t>New York, The Citadel Press 1965, c1947.</t>
        </is>
      </c>
      <c r="O11" t="inlineStr">
        <is>
          <t>1965</t>
        </is>
      </c>
      <c r="P11" t="inlineStr">
        <is>
          <t>2nd paperbound ed.</t>
        </is>
      </c>
      <c r="Q11" t="inlineStr">
        <is>
          <t>eng</t>
        </is>
      </c>
      <c r="R11" t="inlineStr">
        <is>
          <t>nyu</t>
        </is>
      </c>
      <c r="T11" t="inlineStr">
        <is>
          <t xml:space="preserve">PQ </t>
        </is>
      </c>
      <c r="U11" t="n">
        <v>3</v>
      </c>
      <c r="V11" t="n">
        <v>3</v>
      </c>
      <c r="W11" t="inlineStr">
        <is>
          <t>1998-10-01</t>
        </is>
      </c>
      <c r="X11" t="inlineStr">
        <is>
          <t>1998-10-01</t>
        </is>
      </c>
      <c r="Y11" t="inlineStr">
        <is>
          <t>1997-05-07</t>
        </is>
      </c>
      <c r="Z11" t="inlineStr">
        <is>
          <t>1997-05-07</t>
        </is>
      </c>
      <c r="AA11" t="n">
        <v>7</v>
      </c>
      <c r="AB11" t="n">
        <v>6</v>
      </c>
      <c r="AC11" t="n">
        <v>583</v>
      </c>
      <c r="AD11" t="n">
        <v>1</v>
      </c>
      <c r="AE11" t="n">
        <v>4</v>
      </c>
      <c r="AF11" t="n">
        <v>0</v>
      </c>
      <c r="AG11" t="n">
        <v>22</v>
      </c>
      <c r="AH11" t="n">
        <v>0</v>
      </c>
      <c r="AI11" t="n">
        <v>11</v>
      </c>
      <c r="AJ11" t="n">
        <v>0</v>
      </c>
      <c r="AK11" t="n">
        <v>5</v>
      </c>
      <c r="AL11" t="n">
        <v>0</v>
      </c>
      <c r="AM11" t="n">
        <v>12</v>
      </c>
      <c r="AN11" t="n">
        <v>0</v>
      </c>
      <c r="AO11" t="n">
        <v>1</v>
      </c>
      <c r="AP11" t="n">
        <v>0</v>
      </c>
      <c r="AQ11" t="n">
        <v>0</v>
      </c>
      <c r="AR11" t="inlineStr">
        <is>
          <t>No</t>
        </is>
      </c>
      <c r="AS11" t="inlineStr">
        <is>
          <t>No</t>
        </is>
      </c>
      <c r="AU11">
        <f>HYPERLINK("https://creighton-primo.hosted.exlibrisgroup.com/primo-explore/search?tab=default_tab&amp;search_scope=EVERYTHING&amp;vid=01CRU&amp;lang=en_US&amp;offset=0&amp;query=any,contains,991001734939702656","Catalog Record")</f>
        <v/>
      </c>
      <c r="AV11">
        <f>HYPERLINK("http://www.worldcat.org/oclc/21968746","WorldCat Record")</f>
        <v/>
      </c>
      <c r="AW11" t="inlineStr">
        <is>
          <t>1395695:eng</t>
        </is>
      </c>
      <c r="AX11" t="inlineStr">
        <is>
          <t>21968746</t>
        </is>
      </c>
      <c r="AY11" t="inlineStr">
        <is>
          <t>991001734939702656</t>
        </is>
      </c>
      <c r="AZ11" t="inlineStr">
        <is>
          <t>991001734939702656</t>
        </is>
      </c>
      <c r="BA11" t="inlineStr">
        <is>
          <t>2272085520002656</t>
        </is>
      </c>
      <c r="BB11" t="inlineStr">
        <is>
          <t>BOOK</t>
        </is>
      </c>
      <c r="BE11" t="inlineStr">
        <is>
          <t>32285002650876</t>
        </is>
      </c>
      <c r="BF11" t="inlineStr">
        <is>
          <t>893444777</t>
        </is>
      </c>
    </row>
    <row r="12">
      <c r="A12" t="inlineStr">
        <is>
          <t>No</t>
        </is>
      </c>
      <c r="B12" t="inlineStr">
        <is>
          <t>CURAL</t>
        </is>
      </c>
      <c r="C12" t="inlineStr">
        <is>
          <t>SHELVES</t>
        </is>
      </c>
      <c r="D12" t="inlineStr">
        <is>
          <t>PQ1173 .S37</t>
        </is>
      </c>
      <c r="E12" t="inlineStr">
        <is>
          <t>0                      PQ 1173000S  37</t>
        </is>
      </c>
      <c r="F12" t="inlineStr">
        <is>
          <t>Poètes du XVIe siècle.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Schmidt, Albert-Marie, editor.</t>
        </is>
      </c>
      <c r="N12" t="inlineStr">
        <is>
          <t>[Paris, Gallimard, 1953]</t>
        </is>
      </c>
      <c r="O12" t="inlineStr">
        <is>
          <t>1953</t>
        </is>
      </c>
      <c r="Q12" t="inlineStr">
        <is>
          <t>fre</t>
        </is>
      </c>
      <c r="R12" t="inlineStr">
        <is>
          <t xml:space="preserve">fr </t>
        </is>
      </c>
      <c r="S12" t="inlineStr">
        <is>
          <t>Bibliothèque de la Pléiade, v. 96</t>
        </is>
      </c>
      <c r="T12" t="inlineStr">
        <is>
          <t xml:space="preserve">PQ </t>
        </is>
      </c>
      <c r="U12" t="n">
        <v>1</v>
      </c>
      <c r="V12" t="n">
        <v>1</v>
      </c>
      <c r="W12" t="inlineStr">
        <is>
          <t>2001-02-11</t>
        </is>
      </c>
      <c r="X12" t="inlineStr">
        <is>
          <t>2001-02-11</t>
        </is>
      </c>
      <c r="Y12" t="inlineStr">
        <is>
          <t>1997-05-07</t>
        </is>
      </c>
      <c r="Z12" t="inlineStr">
        <is>
          <t>1997-05-07</t>
        </is>
      </c>
      <c r="AA12" t="n">
        <v>620</v>
      </c>
      <c r="AB12" t="n">
        <v>481</v>
      </c>
      <c r="AC12" t="n">
        <v>512</v>
      </c>
      <c r="AD12" t="n">
        <v>5</v>
      </c>
      <c r="AE12" t="n">
        <v>5</v>
      </c>
      <c r="AF12" t="n">
        <v>34</v>
      </c>
      <c r="AG12" t="n">
        <v>36</v>
      </c>
      <c r="AH12" t="n">
        <v>13</v>
      </c>
      <c r="AI12" t="n">
        <v>15</v>
      </c>
      <c r="AJ12" t="n">
        <v>8</v>
      </c>
      <c r="AK12" t="n">
        <v>8</v>
      </c>
      <c r="AL12" t="n">
        <v>16</v>
      </c>
      <c r="AM12" t="n">
        <v>16</v>
      </c>
      <c r="AN12" t="n">
        <v>4</v>
      </c>
      <c r="AO12" t="n">
        <v>4</v>
      </c>
      <c r="AP12" t="n">
        <v>0</v>
      </c>
      <c r="AQ12" t="n">
        <v>0</v>
      </c>
      <c r="AR12" t="inlineStr">
        <is>
          <t>No</t>
        </is>
      </c>
      <c r="AS12" t="inlineStr">
        <is>
          <t>No</t>
        </is>
      </c>
      <c r="AU12">
        <f>HYPERLINK("https://creighton-primo.hosted.exlibrisgroup.com/primo-explore/search?tab=default_tab&amp;search_scope=EVERYTHING&amp;vid=01CRU&amp;lang=en_US&amp;offset=0&amp;query=any,contains,991003262889702656","Catalog Record")</f>
        <v/>
      </c>
      <c r="AV12">
        <f>HYPERLINK("http://www.worldcat.org/oclc/789157","WorldCat Record")</f>
        <v/>
      </c>
      <c r="AW12" t="inlineStr">
        <is>
          <t>5621338004:fre</t>
        </is>
      </c>
      <c r="AX12" t="inlineStr">
        <is>
          <t>789157</t>
        </is>
      </c>
      <c r="AY12" t="inlineStr">
        <is>
          <t>991003262889702656</t>
        </is>
      </c>
      <c r="AZ12" t="inlineStr">
        <is>
          <t>991003262889702656</t>
        </is>
      </c>
      <c r="BA12" t="inlineStr">
        <is>
          <t>2264342870002656</t>
        </is>
      </c>
      <c r="BB12" t="inlineStr">
        <is>
          <t>BOOK</t>
        </is>
      </c>
      <c r="BE12" t="inlineStr">
        <is>
          <t>32285002650900</t>
        </is>
      </c>
      <c r="BF12" t="inlineStr">
        <is>
          <t>893240033</t>
        </is>
      </c>
    </row>
    <row r="13">
      <c r="A13" t="inlineStr">
        <is>
          <t>No</t>
        </is>
      </c>
      <c r="B13" t="inlineStr">
        <is>
          <t>CURAL</t>
        </is>
      </c>
      <c r="C13" t="inlineStr">
        <is>
          <t>SHELVES</t>
        </is>
      </c>
      <c r="D13" t="inlineStr">
        <is>
          <t>PQ118 .K3 1970</t>
        </is>
      </c>
      <c r="E13" t="inlineStr">
        <is>
          <t>0                      PQ 0118000K  3           1970</t>
        </is>
      </c>
      <c r="F13" t="inlineStr">
        <is>
          <t>A short history of French literature from the origins to the present day / by L. E. Kastner and Henry Gibson Atkins.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Kastner, L. E. (Léon Emile), 1867-1940.</t>
        </is>
      </c>
      <c r="N13" t="inlineStr">
        <is>
          <t>Port Washington, N.Y. : Kennikat Press, [1970]</t>
        </is>
      </c>
      <c r="O13" t="inlineStr">
        <is>
          <t>1970</t>
        </is>
      </c>
      <c r="Q13" t="inlineStr">
        <is>
          <t>eng</t>
        </is>
      </c>
      <c r="R13" t="inlineStr">
        <is>
          <t>nyu</t>
        </is>
      </c>
      <c r="T13" t="inlineStr">
        <is>
          <t xml:space="preserve">PQ </t>
        </is>
      </c>
      <c r="U13" t="n">
        <v>1</v>
      </c>
      <c r="V13" t="n">
        <v>1</v>
      </c>
      <c r="W13" t="inlineStr">
        <is>
          <t>2006-10-25</t>
        </is>
      </c>
      <c r="X13" t="inlineStr">
        <is>
          <t>2006-10-25</t>
        </is>
      </c>
      <c r="Y13" t="inlineStr">
        <is>
          <t>1993-05-04</t>
        </is>
      </c>
      <c r="Z13" t="inlineStr">
        <is>
          <t>1993-05-04</t>
        </is>
      </c>
      <c r="AA13" t="n">
        <v>154</v>
      </c>
      <c r="AB13" t="n">
        <v>143</v>
      </c>
      <c r="AC13" t="n">
        <v>253</v>
      </c>
      <c r="AD13" t="n">
        <v>3</v>
      </c>
      <c r="AE13" t="n">
        <v>4</v>
      </c>
      <c r="AF13" t="n">
        <v>5</v>
      </c>
      <c r="AG13" t="n">
        <v>12</v>
      </c>
      <c r="AH13" t="n">
        <v>1</v>
      </c>
      <c r="AI13" t="n">
        <v>5</v>
      </c>
      <c r="AJ13" t="n">
        <v>1</v>
      </c>
      <c r="AK13" t="n">
        <v>2</v>
      </c>
      <c r="AL13" t="n">
        <v>3</v>
      </c>
      <c r="AM13" t="n">
        <v>5</v>
      </c>
      <c r="AN13" t="n">
        <v>2</v>
      </c>
      <c r="AO13" t="n">
        <v>3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HYPERLINK("http://catalog.hathitrust.org/Record/007565960","HathiTrust Record")</f>
        <v/>
      </c>
      <c r="AU13">
        <f>HYPERLINK("https://creighton-primo.hosted.exlibrisgroup.com/primo-explore/search?tab=default_tab&amp;search_scope=EVERYTHING&amp;vid=01CRU&amp;lang=en_US&amp;offset=0&amp;query=any,contains,991000143979702656","Catalog Record")</f>
        <v/>
      </c>
      <c r="AV13">
        <f>HYPERLINK("http://www.worldcat.org/oclc/58521","WorldCat Record")</f>
        <v/>
      </c>
      <c r="AW13" t="inlineStr">
        <is>
          <t>5172860:eng</t>
        </is>
      </c>
      <c r="AX13" t="inlineStr">
        <is>
          <t>58521</t>
        </is>
      </c>
      <c r="AY13" t="inlineStr">
        <is>
          <t>991000143979702656</t>
        </is>
      </c>
      <c r="AZ13" t="inlineStr">
        <is>
          <t>991000143979702656</t>
        </is>
      </c>
      <c r="BA13" t="inlineStr">
        <is>
          <t>2260093350002656</t>
        </is>
      </c>
      <c r="BB13" t="inlineStr">
        <is>
          <t>BOOK</t>
        </is>
      </c>
      <c r="BD13" t="inlineStr">
        <is>
          <t>9780804608664</t>
        </is>
      </c>
      <c r="BE13" t="inlineStr">
        <is>
          <t>32285001633600</t>
        </is>
      </c>
      <c r="BF13" t="inlineStr">
        <is>
          <t>893595325</t>
        </is>
      </c>
    </row>
    <row r="14">
      <c r="A14" t="inlineStr">
        <is>
          <t>No</t>
        </is>
      </c>
      <c r="B14" t="inlineStr">
        <is>
          <t>CURAL</t>
        </is>
      </c>
      <c r="C14" t="inlineStr">
        <is>
          <t>SHELVES</t>
        </is>
      </c>
      <c r="D14" t="inlineStr">
        <is>
          <t>PQ1184 .B42</t>
        </is>
      </c>
      <c r="E14" t="inlineStr">
        <is>
          <t>0                      PQ 1184000B  42</t>
        </is>
      </c>
      <c r="F14" t="inlineStr">
        <is>
          <t>La poésie surréaliste / présentée par Jean-Louis Bédouin. --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Bédouin, Jean-Louis, editor.</t>
        </is>
      </c>
      <c r="N14" t="inlineStr">
        <is>
          <t>Paris : Seghers, 1964.</t>
        </is>
      </c>
      <c r="O14" t="inlineStr">
        <is>
          <t>1964</t>
        </is>
      </c>
      <c r="Q14" t="inlineStr">
        <is>
          <t>fre</t>
        </is>
      </c>
      <c r="R14" t="inlineStr">
        <is>
          <t xml:space="preserve">fr </t>
        </is>
      </c>
      <c r="S14" t="inlineStr">
        <is>
          <t>Collection P.S.</t>
        </is>
      </c>
      <c r="T14" t="inlineStr">
        <is>
          <t xml:space="preserve">PQ </t>
        </is>
      </c>
      <c r="U14" t="n">
        <v>3</v>
      </c>
      <c r="V14" t="n">
        <v>3</v>
      </c>
      <c r="W14" t="inlineStr">
        <is>
          <t>1993-12-03</t>
        </is>
      </c>
      <c r="X14" t="inlineStr">
        <is>
          <t>1993-12-03</t>
        </is>
      </c>
      <c r="Y14" t="inlineStr">
        <is>
          <t>1992-08-04</t>
        </is>
      </c>
      <c r="Z14" t="inlineStr">
        <is>
          <t>1992-08-04</t>
        </is>
      </c>
      <c r="AA14" t="n">
        <v>285</v>
      </c>
      <c r="AB14" t="n">
        <v>208</v>
      </c>
      <c r="AC14" t="n">
        <v>364</v>
      </c>
      <c r="AD14" t="n">
        <v>3</v>
      </c>
      <c r="AE14" t="n">
        <v>3</v>
      </c>
      <c r="AF14" t="n">
        <v>16</v>
      </c>
      <c r="AG14" t="n">
        <v>22</v>
      </c>
      <c r="AH14" t="n">
        <v>3</v>
      </c>
      <c r="AI14" t="n">
        <v>6</v>
      </c>
      <c r="AJ14" t="n">
        <v>4</v>
      </c>
      <c r="AK14" t="n">
        <v>6</v>
      </c>
      <c r="AL14" t="n">
        <v>12</v>
      </c>
      <c r="AM14" t="n">
        <v>14</v>
      </c>
      <c r="AN14" t="n">
        <v>2</v>
      </c>
      <c r="AO14" t="n">
        <v>2</v>
      </c>
      <c r="AP14" t="n">
        <v>0</v>
      </c>
      <c r="AQ14" t="n">
        <v>0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HYPERLINK("https://creighton-primo.hosted.exlibrisgroup.com/primo-explore/search?tab=default_tab&amp;search_scope=EVERYTHING&amp;vid=01CRU&amp;lang=en_US&amp;offset=0&amp;query=any,contains,991004613069702656","Catalog Record")</f>
        <v/>
      </c>
      <c r="AV14">
        <f>HYPERLINK("http://www.worldcat.org/oclc/4228086","WorldCat Record")</f>
        <v/>
      </c>
      <c r="AW14" t="inlineStr">
        <is>
          <t>353328100:fre</t>
        </is>
      </c>
      <c r="AX14" t="inlineStr">
        <is>
          <t>4228086</t>
        </is>
      </c>
      <c r="AY14" t="inlineStr">
        <is>
          <t>991004613069702656</t>
        </is>
      </c>
      <c r="AZ14" t="inlineStr">
        <is>
          <t>991004613069702656</t>
        </is>
      </c>
      <c r="BA14" t="inlineStr">
        <is>
          <t>2255082960002656</t>
        </is>
      </c>
      <c r="BB14" t="inlineStr">
        <is>
          <t>BOOK</t>
        </is>
      </c>
      <c r="BE14" t="inlineStr">
        <is>
          <t>32285001251445</t>
        </is>
      </c>
      <c r="BF14" t="inlineStr">
        <is>
          <t>893706625</t>
        </is>
      </c>
    </row>
    <row r="15">
      <c r="A15" t="inlineStr">
        <is>
          <t>No</t>
        </is>
      </c>
      <c r="B15" t="inlineStr">
        <is>
          <t>CURAL</t>
        </is>
      </c>
      <c r="C15" t="inlineStr">
        <is>
          <t>SHELVES</t>
        </is>
      </c>
      <c r="D15" t="inlineStr">
        <is>
          <t>PQ119 .B7</t>
        </is>
      </c>
      <c r="E15" t="inlineStr">
        <is>
          <t>0                      PQ 0119000B  7</t>
        </is>
      </c>
      <c r="F15" t="inlineStr">
        <is>
          <t>A short history of French literature.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Brereton, Geoffrey.</t>
        </is>
      </c>
      <c r="N15" t="inlineStr">
        <is>
          <t>London, Cassell [1962, c1954]</t>
        </is>
      </c>
      <c r="O15" t="inlineStr">
        <is>
          <t>1962</t>
        </is>
      </c>
      <c r="Q15" t="inlineStr">
        <is>
          <t>eng</t>
        </is>
      </c>
      <c r="R15" t="inlineStr">
        <is>
          <t>enk</t>
        </is>
      </c>
      <c r="S15" t="inlineStr">
        <is>
          <t>The Belle sauvage library.</t>
        </is>
      </c>
      <c r="T15" t="inlineStr">
        <is>
          <t xml:space="preserve">PQ </t>
        </is>
      </c>
      <c r="U15" t="n">
        <v>1</v>
      </c>
      <c r="V15" t="n">
        <v>1</v>
      </c>
      <c r="W15" t="inlineStr">
        <is>
          <t>1998-09-20</t>
        </is>
      </c>
      <c r="X15" t="inlineStr">
        <is>
          <t>1998-09-20</t>
        </is>
      </c>
      <c r="Y15" t="inlineStr">
        <is>
          <t>1997-04-28</t>
        </is>
      </c>
      <c r="Z15" t="inlineStr">
        <is>
          <t>1997-04-28</t>
        </is>
      </c>
      <c r="AA15" t="n">
        <v>339</v>
      </c>
      <c r="AB15" t="n">
        <v>290</v>
      </c>
      <c r="AC15" t="n">
        <v>936</v>
      </c>
      <c r="AD15" t="n">
        <v>5</v>
      </c>
      <c r="AE15" t="n">
        <v>10</v>
      </c>
      <c r="AF15" t="n">
        <v>14</v>
      </c>
      <c r="AG15" t="n">
        <v>39</v>
      </c>
      <c r="AH15" t="n">
        <v>6</v>
      </c>
      <c r="AI15" t="n">
        <v>19</v>
      </c>
      <c r="AJ15" t="n">
        <v>4</v>
      </c>
      <c r="AK15" t="n">
        <v>7</v>
      </c>
      <c r="AL15" t="n">
        <v>4</v>
      </c>
      <c r="AM15" t="n">
        <v>13</v>
      </c>
      <c r="AN15" t="n">
        <v>3</v>
      </c>
      <c r="AO15" t="n">
        <v>7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HYPERLINK("http://catalog.hathitrust.org/Record/009917717","HathiTrust Record")</f>
        <v/>
      </c>
      <c r="AU15">
        <f>HYPERLINK("https://creighton-primo.hosted.exlibrisgroup.com/primo-explore/search?tab=default_tab&amp;search_scope=EVERYTHING&amp;vid=01CRU&amp;lang=en_US&amp;offset=0&amp;query=any,contains,991004033589702656","Catalog Record")</f>
        <v/>
      </c>
      <c r="AV15">
        <f>HYPERLINK("http://www.worldcat.org/oclc/2163652","WorldCat Record")</f>
        <v/>
      </c>
      <c r="AW15" t="inlineStr">
        <is>
          <t>2075734:eng</t>
        </is>
      </c>
      <c r="AX15" t="inlineStr">
        <is>
          <t>2163652</t>
        </is>
      </c>
      <c r="AY15" t="inlineStr">
        <is>
          <t>991004033589702656</t>
        </is>
      </c>
      <c r="AZ15" t="inlineStr">
        <is>
          <t>991004033589702656</t>
        </is>
      </c>
      <c r="BA15" t="inlineStr">
        <is>
          <t>2266546580002656</t>
        </is>
      </c>
      <c r="BB15" t="inlineStr">
        <is>
          <t>BOOK</t>
        </is>
      </c>
      <c r="BE15" t="inlineStr">
        <is>
          <t>32285002588555</t>
        </is>
      </c>
      <c r="BF15" t="inlineStr">
        <is>
          <t>893781776</t>
        </is>
      </c>
    </row>
    <row r="16">
      <c r="A16" t="inlineStr">
        <is>
          <t>No</t>
        </is>
      </c>
      <c r="B16" t="inlineStr">
        <is>
          <t>CURAL</t>
        </is>
      </c>
      <c r="C16" t="inlineStr">
        <is>
          <t>SHELVES</t>
        </is>
      </c>
      <c r="D16" t="inlineStr">
        <is>
          <t>PQ119 .H8 1970</t>
        </is>
      </c>
      <c r="E16" t="inlineStr">
        <is>
          <t>0                      PQ 0119000H  8           1970</t>
        </is>
      </c>
      <c r="F16" t="inlineStr">
        <is>
          <t>A short history of French literature. With memoir of the author by A. A. Jack.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M16" t="inlineStr">
        <is>
          <t>Hudson, William Henry, 1862-1918.</t>
        </is>
      </c>
      <c r="N16" t="inlineStr">
        <is>
          <t>Port Washington, N.Y., Kennikat Press [1970]</t>
        </is>
      </c>
      <c r="O16" t="inlineStr">
        <is>
          <t>1970</t>
        </is>
      </c>
      <c r="Q16" t="inlineStr">
        <is>
          <t>eng</t>
        </is>
      </c>
      <c r="R16" t="inlineStr">
        <is>
          <t>nyu</t>
        </is>
      </c>
      <c r="T16" t="inlineStr">
        <is>
          <t xml:space="preserve">PQ </t>
        </is>
      </c>
      <c r="U16" t="n">
        <v>1</v>
      </c>
      <c r="V16" t="n">
        <v>1</v>
      </c>
      <c r="W16" t="inlineStr">
        <is>
          <t>2006-10-25</t>
        </is>
      </c>
      <c r="X16" t="inlineStr">
        <is>
          <t>2006-10-25</t>
        </is>
      </c>
      <c r="Y16" t="inlineStr">
        <is>
          <t>1997-04-28</t>
        </is>
      </c>
      <c r="Z16" t="inlineStr">
        <is>
          <t>1997-04-28</t>
        </is>
      </c>
      <c r="AA16" t="n">
        <v>163</v>
      </c>
      <c r="AB16" t="n">
        <v>149</v>
      </c>
      <c r="AC16" t="n">
        <v>213</v>
      </c>
      <c r="AD16" t="n">
        <v>2</v>
      </c>
      <c r="AE16" t="n">
        <v>2</v>
      </c>
      <c r="AF16" t="n">
        <v>8</v>
      </c>
      <c r="AG16" t="n">
        <v>9</v>
      </c>
      <c r="AH16" t="n">
        <v>3</v>
      </c>
      <c r="AI16" t="n">
        <v>3</v>
      </c>
      <c r="AJ16" t="n">
        <v>4</v>
      </c>
      <c r="AK16" t="n">
        <v>5</v>
      </c>
      <c r="AL16" t="n">
        <v>3</v>
      </c>
      <c r="AM16" t="n">
        <v>3</v>
      </c>
      <c r="AN16" t="n">
        <v>1</v>
      </c>
      <c r="AO16" t="n">
        <v>1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HYPERLINK("https://creighton-primo.hosted.exlibrisgroup.com/primo-explore/search?tab=default_tab&amp;search_scope=EVERYTHING&amp;vid=01CRU&amp;lang=en_US&amp;offset=0&amp;query=any,contains,991000183129702656","Catalog Record")</f>
        <v/>
      </c>
      <c r="AV16">
        <f>HYPERLINK("http://www.worldcat.org/oclc/62389","WorldCat Record")</f>
        <v/>
      </c>
      <c r="AW16" t="inlineStr">
        <is>
          <t>1224807:eng</t>
        </is>
      </c>
      <c r="AX16" t="inlineStr">
        <is>
          <t>62389</t>
        </is>
      </c>
      <c r="AY16" t="inlineStr">
        <is>
          <t>991000183129702656</t>
        </is>
      </c>
      <c r="AZ16" t="inlineStr">
        <is>
          <t>991000183129702656</t>
        </is>
      </c>
      <c r="BA16" t="inlineStr">
        <is>
          <t>2255127880002656</t>
        </is>
      </c>
      <c r="BB16" t="inlineStr">
        <is>
          <t>BOOK</t>
        </is>
      </c>
      <c r="BD16" t="inlineStr">
        <is>
          <t>9780804608640</t>
        </is>
      </c>
      <c r="BE16" t="inlineStr">
        <is>
          <t>32285002588563</t>
        </is>
      </c>
      <c r="BF16" t="inlineStr">
        <is>
          <t>893320889</t>
        </is>
      </c>
    </row>
    <row r="17">
      <c r="A17" t="inlineStr">
        <is>
          <t>No</t>
        </is>
      </c>
      <c r="B17" t="inlineStr">
        <is>
          <t>CURAL</t>
        </is>
      </c>
      <c r="C17" t="inlineStr">
        <is>
          <t>SHELVES</t>
        </is>
      </c>
      <c r="D17" t="inlineStr">
        <is>
          <t>PQ119 .N58 1950</t>
        </is>
      </c>
      <c r="E17" t="inlineStr">
        <is>
          <t>0                      PQ 0119000N  58          1950</t>
        </is>
      </c>
      <c r="F17" t="inlineStr">
        <is>
          <t>A history of French literature : from the earliest times to the present / by William A. Nitze and E. Preston Dargan.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Nitze, William Albert, 1876-1957.</t>
        </is>
      </c>
      <c r="N17" t="inlineStr">
        <is>
          <t>New York : Holt, Rinehart and Winston, 1950.</t>
        </is>
      </c>
      <c r="O17" t="inlineStr">
        <is>
          <t>1950</t>
        </is>
      </c>
      <c r="P17" t="inlineStr">
        <is>
          <t>3d ed.</t>
        </is>
      </c>
      <c r="Q17" t="inlineStr">
        <is>
          <t>eng</t>
        </is>
      </c>
      <c r="R17" t="inlineStr">
        <is>
          <t>nyu</t>
        </is>
      </c>
      <c r="T17" t="inlineStr">
        <is>
          <t xml:space="preserve">PQ </t>
        </is>
      </c>
      <c r="U17" t="n">
        <v>3</v>
      </c>
      <c r="V17" t="n">
        <v>3</v>
      </c>
      <c r="W17" t="inlineStr">
        <is>
          <t>1999-08-23</t>
        </is>
      </c>
      <c r="X17" t="inlineStr">
        <is>
          <t>1999-08-23</t>
        </is>
      </c>
      <c r="Y17" t="inlineStr">
        <is>
          <t>1997-08-21</t>
        </is>
      </c>
      <c r="Z17" t="inlineStr">
        <is>
          <t>1997-08-21</t>
        </is>
      </c>
      <c r="AA17" t="n">
        <v>213</v>
      </c>
      <c r="AB17" t="n">
        <v>203</v>
      </c>
      <c r="AC17" t="n">
        <v>920</v>
      </c>
      <c r="AD17" t="n">
        <v>3</v>
      </c>
      <c r="AE17" t="n">
        <v>8</v>
      </c>
      <c r="AF17" t="n">
        <v>7</v>
      </c>
      <c r="AG17" t="n">
        <v>37</v>
      </c>
      <c r="AH17" t="n">
        <v>2</v>
      </c>
      <c r="AI17" t="n">
        <v>13</v>
      </c>
      <c r="AJ17" t="n">
        <v>1</v>
      </c>
      <c r="AK17" t="n">
        <v>6</v>
      </c>
      <c r="AL17" t="n">
        <v>2</v>
      </c>
      <c r="AM17" t="n">
        <v>16</v>
      </c>
      <c r="AN17" t="n">
        <v>2</v>
      </c>
      <c r="AO17" t="n">
        <v>6</v>
      </c>
      <c r="AP17" t="n">
        <v>0</v>
      </c>
      <c r="AQ17" t="n">
        <v>0</v>
      </c>
      <c r="AR17" t="inlineStr">
        <is>
          <t>No</t>
        </is>
      </c>
      <c r="AS17" t="inlineStr">
        <is>
          <t>Yes</t>
        </is>
      </c>
      <c r="AT17">
        <f>HYPERLINK("http://catalog.hathitrust.org/Record/102088414","HathiTrust Record")</f>
        <v/>
      </c>
      <c r="AU17">
        <f>HYPERLINK("https://creighton-primo.hosted.exlibrisgroup.com/primo-explore/search?tab=default_tab&amp;search_scope=EVERYTHING&amp;vid=01CRU&amp;lang=en_US&amp;offset=0&amp;query=any,contains,991004620949702656","Catalog Record")</f>
        <v/>
      </c>
      <c r="AV17">
        <f>HYPERLINK("http://www.worldcat.org/oclc/4294039","WorldCat Record")</f>
        <v/>
      </c>
      <c r="AW17" t="inlineStr">
        <is>
          <t>5703472:eng</t>
        </is>
      </c>
      <c r="AX17" t="inlineStr">
        <is>
          <t>4294039</t>
        </is>
      </c>
      <c r="AY17" t="inlineStr">
        <is>
          <t>991004620949702656</t>
        </is>
      </c>
      <c r="AZ17" t="inlineStr">
        <is>
          <t>991004620949702656</t>
        </is>
      </c>
      <c r="BA17" t="inlineStr">
        <is>
          <t>2269565520002656</t>
        </is>
      </c>
      <c r="BB17" t="inlineStr">
        <is>
          <t>BOOK</t>
        </is>
      </c>
      <c r="BE17" t="inlineStr">
        <is>
          <t>32285003001194</t>
        </is>
      </c>
      <c r="BF17" t="inlineStr">
        <is>
          <t>893624903</t>
        </is>
      </c>
    </row>
    <row r="18">
      <c r="A18" t="inlineStr">
        <is>
          <t>No</t>
        </is>
      </c>
      <c r="B18" t="inlineStr">
        <is>
          <t>CURAL</t>
        </is>
      </c>
      <c r="C18" t="inlineStr">
        <is>
          <t>SHELVES</t>
        </is>
      </c>
      <c r="D18" t="inlineStr">
        <is>
          <t>PQ1223 .P8</t>
        </is>
      </c>
      <c r="E18" t="inlineStr">
        <is>
          <t>0                      PQ 1223000P  8</t>
        </is>
      </c>
      <c r="F18" t="inlineStr">
        <is>
          <t>The French theater since 1930 : six contemporary full-length plays / edited by Oreste F. Pucciani.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Pucciani, Oreste F.</t>
        </is>
      </c>
      <c r="N18" t="inlineStr">
        <is>
          <t>Boston : Ginn, c1954.</t>
        </is>
      </c>
      <c r="O18" t="inlineStr">
        <is>
          <t>1954</t>
        </is>
      </c>
      <c r="Q18" t="inlineStr">
        <is>
          <t>fre</t>
        </is>
      </c>
      <c r="R18" t="inlineStr">
        <is>
          <t xml:space="preserve">xx </t>
        </is>
      </c>
      <c r="T18" t="inlineStr">
        <is>
          <t xml:space="preserve">PQ </t>
        </is>
      </c>
      <c r="U18" t="n">
        <v>1</v>
      </c>
      <c r="V18" t="n">
        <v>1</v>
      </c>
      <c r="W18" t="inlineStr">
        <is>
          <t>2004-11-15</t>
        </is>
      </c>
      <c r="X18" t="inlineStr">
        <is>
          <t>2004-11-15</t>
        </is>
      </c>
      <c r="Y18" t="inlineStr">
        <is>
          <t>1997-05-08</t>
        </is>
      </c>
      <c r="Z18" t="inlineStr">
        <is>
          <t>1997-05-08</t>
        </is>
      </c>
      <c r="AA18" t="n">
        <v>636</v>
      </c>
      <c r="AB18" t="n">
        <v>596</v>
      </c>
      <c r="AC18" t="n">
        <v>749</v>
      </c>
      <c r="AD18" t="n">
        <v>5</v>
      </c>
      <c r="AE18" t="n">
        <v>5</v>
      </c>
      <c r="AF18" t="n">
        <v>30</v>
      </c>
      <c r="AG18" t="n">
        <v>36</v>
      </c>
      <c r="AH18" t="n">
        <v>11</v>
      </c>
      <c r="AI18" t="n">
        <v>15</v>
      </c>
      <c r="AJ18" t="n">
        <v>7</v>
      </c>
      <c r="AK18" t="n">
        <v>7</v>
      </c>
      <c r="AL18" t="n">
        <v>15</v>
      </c>
      <c r="AM18" t="n">
        <v>18</v>
      </c>
      <c r="AN18" t="n">
        <v>4</v>
      </c>
      <c r="AO18" t="n">
        <v>4</v>
      </c>
      <c r="AP18" t="n">
        <v>0</v>
      </c>
      <c r="AQ18" t="n">
        <v>0</v>
      </c>
      <c r="AR18" t="inlineStr">
        <is>
          <t>No</t>
        </is>
      </c>
      <c r="AS18" t="inlineStr">
        <is>
          <t>No</t>
        </is>
      </c>
      <c r="AU18">
        <f>HYPERLINK("https://creighton-primo.hosted.exlibrisgroup.com/primo-explore/search?tab=default_tab&amp;search_scope=EVERYTHING&amp;vid=01CRU&amp;lang=en_US&amp;offset=0&amp;query=any,contains,991004514339702656","Catalog Record")</f>
        <v/>
      </c>
      <c r="AV18">
        <f>HYPERLINK("http://www.worldcat.org/oclc/3778698","WorldCat Record")</f>
        <v/>
      </c>
      <c r="AW18" t="inlineStr">
        <is>
          <t>2078600:fre</t>
        </is>
      </c>
      <c r="AX18" t="inlineStr">
        <is>
          <t>3778698</t>
        </is>
      </c>
      <c r="AY18" t="inlineStr">
        <is>
          <t>991004514339702656</t>
        </is>
      </c>
      <c r="AZ18" t="inlineStr">
        <is>
          <t>991004514339702656</t>
        </is>
      </c>
      <c r="BA18" t="inlineStr">
        <is>
          <t>2259441930002656</t>
        </is>
      </c>
      <c r="BB18" t="inlineStr">
        <is>
          <t>BOOK</t>
        </is>
      </c>
      <c r="BE18" t="inlineStr">
        <is>
          <t>32285002651122</t>
        </is>
      </c>
      <c r="BF18" t="inlineStr">
        <is>
          <t>893446258</t>
        </is>
      </c>
    </row>
    <row r="19">
      <c r="A19" t="inlineStr">
        <is>
          <t>No</t>
        </is>
      </c>
      <c r="B19" t="inlineStr">
        <is>
          <t>CURAL</t>
        </is>
      </c>
      <c r="C19" t="inlineStr">
        <is>
          <t>SHELVES</t>
        </is>
      </c>
      <c r="D19" t="inlineStr">
        <is>
          <t>PQ1342.E5 A9</t>
        </is>
      </c>
      <c r="E19" t="inlineStr">
        <is>
          <t>0                      PQ 1342000E  5                  A  9</t>
        </is>
      </c>
      <c r="F19" t="inlineStr">
        <is>
          <t>Medieval French plays. Translated by Richard Axton and John Stevens.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Axton, Richard, compiler.</t>
        </is>
      </c>
      <c r="N19" t="inlineStr">
        <is>
          <t>New York, Barnes &amp; Noble, 1971.</t>
        </is>
      </c>
      <c r="O19" t="inlineStr">
        <is>
          <t>1971</t>
        </is>
      </c>
      <c r="Q19" t="inlineStr">
        <is>
          <t>eng</t>
        </is>
      </c>
      <c r="R19" t="inlineStr">
        <is>
          <t>nyu</t>
        </is>
      </c>
      <c r="T19" t="inlineStr">
        <is>
          <t xml:space="preserve">PQ </t>
        </is>
      </c>
      <c r="U19" t="n">
        <v>3</v>
      </c>
      <c r="V19" t="n">
        <v>3</v>
      </c>
      <c r="W19" t="inlineStr">
        <is>
          <t>1998-10-08</t>
        </is>
      </c>
      <c r="X19" t="inlineStr">
        <is>
          <t>1998-10-08</t>
        </is>
      </c>
      <c r="Y19" t="inlineStr">
        <is>
          <t>1997-05-08</t>
        </is>
      </c>
      <c r="Z19" t="inlineStr">
        <is>
          <t>1997-05-08</t>
        </is>
      </c>
      <c r="AA19" t="n">
        <v>271</v>
      </c>
      <c r="AB19" t="n">
        <v>255</v>
      </c>
      <c r="AC19" t="n">
        <v>516</v>
      </c>
      <c r="AD19" t="n">
        <v>2</v>
      </c>
      <c r="AE19" t="n">
        <v>5</v>
      </c>
      <c r="AF19" t="n">
        <v>10</v>
      </c>
      <c r="AG19" t="n">
        <v>25</v>
      </c>
      <c r="AH19" t="n">
        <v>1</v>
      </c>
      <c r="AI19" t="n">
        <v>9</v>
      </c>
      <c r="AJ19" t="n">
        <v>5</v>
      </c>
      <c r="AK19" t="n">
        <v>7</v>
      </c>
      <c r="AL19" t="n">
        <v>5</v>
      </c>
      <c r="AM19" t="n">
        <v>11</v>
      </c>
      <c r="AN19" t="n">
        <v>1</v>
      </c>
      <c r="AO19" t="n">
        <v>4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HYPERLINK("https://creighton-primo.hosted.exlibrisgroup.com/primo-explore/search?tab=default_tab&amp;search_scope=EVERYTHING&amp;vid=01CRU&amp;lang=en_US&amp;offset=0&amp;query=any,contains,991000936149702656","Catalog Record")</f>
        <v/>
      </c>
      <c r="AV19">
        <f>HYPERLINK("http://www.worldcat.org/oclc/164910","WorldCat Record")</f>
        <v/>
      </c>
      <c r="AW19" t="inlineStr">
        <is>
          <t>366120317:eng</t>
        </is>
      </c>
      <c r="AX19" t="inlineStr">
        <is>
          <t>164910</t>
        </is>
      </c>
      <c r="AY19" t="inlineStr">
        <is>
          <t>991000936149702656</t>
        </is>
      </c>
      <c r="AZ19" t="inlineStr">
        <is>
          <t>991000936149702656</t>
        </is>
      </c>
      <c r="BA19" t="inlineStr">
        <is>
          <t>2271693610002656</t>
        </is>
      </c>
      <c r="BB19" t="inlineStr">
        <is>
          <t>BOOK</t>
        </is>
      </c>
      <c r="BD19" t="inlineStr">
        <is>
          <t>9780389041115</t>
        </is>
      </c>
      <c r="BE19" t="inlineStr">
        <is>
          <t>32285002651460</t>
        </is>
      </c>
      <c r="BF19" t="inlineStr">
        <is>
          <t>893496696</t>
        </is>
      </c>
    </row>
    <row r="20">
      <c r="A20" t="inlineStr">
        <is>
          <t>No</t>
        </is>
      </c>
      <c r="B20" t="inlineStr">
        <is>
          <t>CURAL</t>
        </is>
      </c>
      <c r="C20" t="inlineStr">
        <is>
          <t>SHELVES</t>
        </is>
      </c>
      <c r="D20" t="inlineStr">
        <is>
          <t>PQ1342.E5 F58 1982</t>
        </is>
      </c>
      <c r="E20" t="inlineStr">
        <is>
          <t>0                      PQ 1342000E  5                  F  58          1982</t>
        </is>
      </c>
      <c r="F20" t="inlineStr">
        <is>
          <t>Five comedies of medieval France / translated and introduced by Oscar Mandel.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N20" t="inlineStr">
        <is>
          <t>Washington, D.C. : University Press of America, c1982.</t>
        </is>
      </c>
      <c r="O20" t="inlineStr">
        <is>
          <t>1982</t>
        </is>
      </c>
      <c r="Q20" t="inlineStr">
        <is>
          <t>eng</t>
        </is>
      </c>
      <c r="R20" t="inlineStr">
        <is>
          <t>dcu</t>
        </is>
      </c>
      <c r="T20" t="inlineStr">
        <is>
          <t xml:space="preserve">PQ </t>
        </is>
      </c>
      <c r="U20" t="n">
        <v>2</v>
      </c>
      <c r="V20" t="n">
        <v>2</v>
      </c>
      <c r="W20" t="inlineStr">
        <is>
          <t>1994-10-05</t>
        </is>
      </c>
      <c r="X20" t="inlineStr">
        <is>
          <t>1994-10-05</t>
        </is>
      </c>
      <c r="Y20" t="inlineStr">
        <is>
          <t>1992-08-04</t>
        </is>
      </c>
      <c r="Z20" t="inlineStr">
        <is>
          <t>1992-08-04</t>
        </is>
      </c>
      <c r="AA20" t="n">
        <v>170</v>
      </c>
      <c r="AB20" t="n">
        <v>158</v>
      </c>
      <c r="AC20" t="n">
        <v>424</v>
      </c>
      <c r="AD20" t="n">
        <v>1</v>
      </c>
      <c r="AE20" t="n">
        <v>3</v>
      </c>
      <c r="AF20" t="n">
        <v>7</v>
      </c>
      <c r="AG20" t="n">
        <v>13</v>
      </c>
      <c r="AH20" t="n">
        <v>4</v>
      </c>
      <c r="AI20" t="n">
        <v>6</v>
      </c>
      <c r="AJ20" t="n">
        <v>1</v>
      </c>
      <c r="AK20" t="n">
        <v>2</v>
      </c>
      <c r="AL20" t="n">
        <v>5</v>
      </c>
      <c r="AM20" t="n">
        <v>7</v>
      </c>
      <c r="AN20" t="n">
        <v>0</v>
      </c>
      <c r="AO20" t="n">
        <v>2</v>
      </c>
      <c r="AP20" t="n">
        <v>0</v>
      </c>
      <c r="AQ20" t="n">
        <v>0</v>
      </c>
      <c r="AR20" t="inlineStr">
        <is>
          <t>No</t>
        </is>
      </c>
      <c r="AS20" t="inlineStr">
        <is>
          <t>No</t>
        </is>
      </c>
      <c r="AU20">
        <f>HYPERLINK("https://creighton-primo.hosted.exlibrisgroup.com/primo-explore/search?tab=default_tab&amp;search_scope=EVERYTHING&amp;vid=01CRU&amp;lang=en_US&amp;offset=0&amp;query=any,contains,991000042589702656","Catalog Record")</f>
        <v/>
      </c>
      <c r="AV20">
        <f>HYPERLINK("http://www.worldcat.org/oclc/8666776","WorldCat Record")</f>
        <v/>
      </c>
      <c r="AW20" t="inlineStr">
        <is>
          <t>1251047:eng</t>
        </is>
      </c>
      <c r="AX20" t="inlineStr">
        <is>
          <t>8666776</t>
        </is>
      </c>
      <c r="AY20" t="inlineStr">
        <is>
          <t>991000042589702656</t>
        </is>
      </c>
      <c r="AZ20" t="inlineStr">
        <is>
          <t>991000042589702656</t>
        </is>
      </c>
      <c r="BA20" t="inlineStr">
        <is>
          <t>2272444200002656</t>
        </is>
      </c>
      <c r="BB20" t="inlineStr">
        <is>
          <t>BOOK</t>
        </is>
      </c>
      <c r="BD20" t="inlineStr">
        <is>
          <t>9780819126689</t>
        </is>
      </c>
      <c r="BE20" t="inlineStr">
        <is>
          <t>32285001251494</t>
        </is>
      </c>
      <c r="BF20" t="inlineStr">
        <is>
          <t>893425352</t>
        </is>
      </c>
    </row>
    <row r="21">
      <c r="A21" t="inlineStr">
        <is>
          <t>No</t>
        </is>
      </c>
      <c r="B21" t="inlineStr">
        <is>
          <t>CURAL</t>
        </is>
      </c>
      <c r="C21" t="inlineStr">
        <is>
          <t>SHELVES</t>
        </is>
      </c>
      <c r="D21" t="inlineStr">
        <is>
          <t>PQ1345.A2 E5 1976</t>
        </is>
      </c>
      <c r="E21" t="inlineStr">
        <is>
          <t>0                      PQ 1345000A  2                  E  5           1976</t>
        </is>
      </c>
      <c r="F21" t="inlineStr">
        <is>
          <t>The play of Adam = Ordo representacionis Ade / the original text reviewed, with introduction, notes, and an English translation by Carl J. Odenkirchen.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Adam (Mystery). English &amp; Anglo-Norman.</t>
        </is>
      </c>
      <c r="N21" t="inlineStr">
        <is>
          <t>Brookline, Mass. : Classical Folia Editions, 1976.</t>
        </is>
      </c>
      <c r="O21" t="inlineStr">
        <is>
          <t>1976</t>
        </is>
      </c>
      <c r="Q21" t="inlineStr">
        <is>
          <t>eng</t>
        </is>
      </c>
      <c r="R21" t="inlineStr">
        <is>
          <t>mau</t>
        </is>
      </c>
      <c r="S21" t="inlineStr">
        <is>
          <t>Medieval classics : texts and studies ; 5</t>
        </is>
      </c>
      <c r="T21" t="inlineStr">
        <is>
          <t xml:space="preserve">PQ </t>
        </is>
      </c>
      <c r="U21" t="n">
        <v>2</v>
      </c>
      <c r="V21" t="n">
        <v>2</v>
      </c>
      <c r="W21" t="inlineStr">
        <is>
          <t>1998-12-14</t>
        </is>
      </c>
      <c r="X21" t="inlineStr">
        <is>
          <t>1998-12-14</t>
        </is>
      </c>
      <c r="Y21" t="inlineStr">
        <is>
          <t>1992-08-04</t>
        </is>
      </c>
      <c r="Z21" t="inlineStr">
        <is>
          <t>1992-08-04</t>
        </is>
      </c>
      <c r="AA21" t="n">
        <v>159</v>
      </c>
      <c r="AB21" t="n">
        <v>116</v>
      </c>
      <c r="AC21" t="n">
        <v>118</v>
      </c>
      <c r="AD21" t="n">
        <v>2</v>
      </c>
      <c r="AE21" t="n">
        <v>2</v>
      </c>
      <c r="AF21" t="n">
        <v>8</v>
      </c>
      <c r="AG21" t="n">
        <v>8</v>
      </c>
      <c r="AH21" t="n">
        <v>1</v>
      </c>
      <c r="AI21" t="n">
        <v>1</v>
      </c>
      <c r="AJ21" t="n">
        <v>3</v>
      </c>
      <c r="AK21" t="n">
        <v>3</v>
      </c>
      <c r="AL21" t="n">
        <v>6</v>
      </c>
      <c r="AM21" t="n">
        <v>6</v>
      </c>
      <c r="AN21" t="n">
        <v>1</v>
      </c>
      <c r="AO21" t="n">
        <v>1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HYPERLINK("http://catalog.hathitrust.org/Record/000734399","HathiTrust Record")</f>
        <v/>
      </c>
      <c r="AU21">
        <f>HYPERLINK("https://creighton-primo.hosted.exlibrisgroup.com/primo-explore/search?tab=default_tab&amp;search_scope=EVERYTHING&amp;vid=01CRU&amp;lang=en_US&amp;offset=0&amp;query=any,contains,991004288259702656","Catalog Record")</f>
        <v/>
      </c>
      <c r="AV21">
        <f>HYPERLINK("http://www.worldcat.org/oclc/2932522","WorldCat Record")</f>
        <v/>
      </c>
      <c r="AW21" t="inlineStr">
        <is>
          <t>1089567758:eng</t>
        </is>
      </c>
      <c r="AX21" t="inlineStr">
        <is>
          <t>2932522</t>
        </is>
      </c>
      <c r="AY21" t="inlineStr">
        <is>
          <t>991004288259702656</t>
        </is>
      </c>
      <c r="AZ21" t="inlineStr">
        <is>
          <t>991004288259702656</t>
        </is>
      </c>
      <c r="BA21" t="inlineStr">
        <is>
          <t>2268696670002656</t>
        </is>
      </c>
      <c r="BB21" t="inlineStr">
        <is>
          <t>BOOK</t>
        </is>
      </c>
      <c r="BE21" t="inlineStr">
        <is>
          <t>32285001251502</t>
        </is>
      </c>
      <c r="BF21" t="inlineStr">
        <is>
          <t>893712377</t>
        </is>
      </c>
    </row>
    <row r="22">
      <c r="A22" t="inlineStr">
        <is>
          <t>No</t>
        </is>
      </c>
      <c r="B22" t="inlineStr">
        <is>
          <t>CURAL</t>
        </is>
      </c>
      <c r="C22" t="inlineStr">
        <is>
          <t>SHELVES</t>
        </is>
      </c>
      <c r="D22" t="inlineStr">
        <is>
          <t>PQ142 .M4 1977</t>
        </is>
      </c>
      <c r="E22" t="inlineStr">
        <is>
          <t>0                      PQ 0142000M  4           1977</t>
        </is>
      </c>
      <c r="F22" t="inlineStr">
        <is>
          <t>Revolution and repetition : Marx/Hugo/Balzac / Jeffrey Mehlman.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Mehlman, Jeffrey.</t>
        </is>
      </c>
      <c r="N22" t="inlineStr">
        <is>
          <t>Berkeley : University of California Press, c1977.</t>
        </is>
      </c>
      <c r="O22" t="inlineStr">
        <is>
          <t>1977</t>
        </is>
      </c>
      <c r="Q22" t="inlineStr">
        <is>
          <t>eng</t>
        </is>
      </c>
      <c r="R22" t="inlineStr">
        <is>
          <t>cau</t>
        </is>
      </c>
      <c r="S22" t="inlineStr">
        <is>
          <t>Quantum books</t>
        </is>
      </c>
      <c r="T22" t="inlineStr">
        <is>
          <t xml:space="preserve">PQ </t>
        </is>
      </c>
      <c r="U22" t="n">
        <v>2</v>
      </c>
      <c r="V22" t="n">
        <v>2</v>
      </c>
      <c r="W22" t="inlineStr">
        <is>
          <t>1994-03-27</t>
        </is>
      </c>
      <c r="X22" t="inlineStr">
        <is>
          <t>1994-03-27</t>
        </is>
      </c>
      <c r="Y22" t="inlineStr">
        <is>
          <t>1992-08-03</t>
        </is>
      </c>
      <c r="Z22" t="inlineStr">
        <is>
          <t>1992-08-03</t>
        </is>
      </c>
      <c r="AA22" t="n">
        <v>491</v>
      </c>
      <c r="AB22" t="n">
        <v>362</v>
      </c>
      <c r="AC22" t="n">
        <v>362</v>
      </c>
      <c r="AD22" t="n">
        <v>3</v>
      </c>
      <c r="AE22" t="n">
        <v>3</v>
      </c>
      <c r="AF22" t="n">
        <v>15</v>
      </c>
      <c r="AG22" t="n">
        <v>15</v>
      </c>
      <c r="AH22" t="n">
        <v>4</v>
      </c>
      <c r="AI22" t="n">
        <v>4</v>
      </c>
      <c r="AJ22" t="n">
        <v>4</v>
      </c>
      <c r="AK22" t="n">
        <v>4</v>
      </c>
      <c r="AL22" t="n">
        <v>9</v>
      </c>
      <c r="AM22" t="n">
        <v>9</v>
      </c>
      <c r="AN22" t="n">
        <v>2</v>
      </c>
      <c r="AO22" t="n">
        <v>2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HYPERLINK("https://creighton-primo.hosted.exlibrisgroup.com/primo-explore/search?tab=default_tab&amp;search_scope=EVERYTHING&amp;vid=01CRU&amp;lang=en_US&amp;offset=0&amp;query=any,contains,991004432419702656","Catalog Record")</f>
        <v/>
      </c>
      <c r="AV22">
        <f>HYPERLINK("http://www.worldcat.org/oclc/3428758","WorldCat Record")</f>
        <v/>
      </c>
      <c r="AW22" t="inlineStr">
        <is>
          <t>836699041:eng</t>
        </is>
      </c>
      <c r="AX22" t="inlineStr">
        <is>
          <t>3428758</t>
        </is>
      </c>
      <c r="AY22" t="inlineStr">
        <is>
          <t>991004432419702656</t>
        </is>
      </c>
      <c r="AZ22" t="inlineStr">
        <is>
          <t>991004432419702656</t>
        </is>
      </c>
      <c r="BA22" t="inlineStr">
        <is>
          <t>2258445120002656</t>
        </is>
      </c>
      <c r="BB22" t="inlineStr">
        <is>
          <t>BOOK</t>
        </is>
      </c>
      <c r="BD22" t="inlineStr">
        <is>
          <t>9780520031111</t>
        </is>
      </c>
      <c r="BE22" t="inlineStr">
        <is>
          <t>32285001250710</t>
        </is>
      </c>
      <c r="BF22" t="inlineStr">
        <is>
          <t>893229364</t>
        </is>
      </c>
    </row>
    <row r="23">
      <c r="A23" t="inlineStr">
        <is>
          <t>No</t>
        </is>
      </c>
      <c r="B23" t="inlineStr">
        <is>
          <t>CURAL</t>
        </is>
      </c>
      <c r="C23" t="inlineStr">
        <is>
          <t>SHELVES</t>
        </is>
      </c>
      <c r="D23" t="inlineStr">
        <is>
          <t>PQ1426.E5 M3 1958</t>
        </is>
      </c>
      <c r="E23" t="inlineStr">
        <is>
          <t>0                      PQ 1426000E  5                  M  3           1958</t>
        </is>
      </c>
      <c r="F23" t="inlineStr">
        <is>
          <t>Aucassin and Nicolette : and other mediaeval romances and legends / translated with an introduction by Eugene Mason.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Yes</t>
        </is>
      </c>
      <c r="L23" t="inlineStr">
        <is>
          <t>0</t>
        </is>
      </c>
      <c r="M23" t="inlineStr">
        <is>
          <t>Aucassin et Nicolette.</t>
        </is>
      </c>
      <c r="N23" t="inlineStr">
        <is>
          <t>New York : Dutton, 1958.</t>
        </is>
      </c>
      <c r="O23" t="inlineStr">
        <is>
          <t>1958</t>
        </is>
      </c>
      <c r="Q23" t="inlineStr">
        <is>
          <t>eng</t>
        </is>
      </c>
      <c r="R23" t="inlineStr">
        <is>
          <t>nyu</t>
        </is>
      </c>
      <c r="T23" t="inlineStr">
        <is>
          <t xml:space="preserve">PQ </t>
        </is>
      </c>
      <c r="U23" t="n">
        <v>1</v>
      </c>
      <c r="V23" t="n">
        <v>1</v>
      </c>
      <c r="W23" t="inlineStr">
        <is>
          <t>1998-09-10</t>
        </is>
      </c>
      <c r="X23" t="inlineStr">
        <is>
          <t>1998-09-10</t>
        </is>
      </c>
      <c r="Y23" t="inlineStr">
        <is>
          <t>1995-10-30</t>
        </is>
      </c>
      <c r="Z23" t="inlineStr">
        <is>
          <t>1995-10-30</t>
        </is>
      </c>
      <c r="AA23" t="n">
        <v>361</v>
      </c>
      <c r="AB23" t="n">
        <v>341</v>
      </c>
      <c r="AC23" t="n">
        <v>1042</v>
      </c>
      <c r="AD23" t="n">
        <v>3</v>
      </c>
      <c r="AE23" t="n">
        <v>9</v>
      </c>
      <c r="AF23" t="n">
        <v>9</v>
      </c>
      <c r="AG23" t="n">
        <v>46</v>
      </c>
      <c r="AH23" t="n">
        <v>1</v>
      </c>
      <c r="AI23" t="n">
        <v>18</v>
      </c>
      <c r="AJ23" t="n">
        <v>1</v>
      </c>
      <c r="AK23" t="n">
        <v>9</v>
      </c>
      <c r="AL23" t="n">
        <v>6</v>
      </c>
      <c r="AM23" t="n">
        <v>20</v>
      </c>
      <c r="AN23" t="n">
        <v>2</v>
      </c>
      <c r="AO23" t="n">
        <v>8</v>
      </c>
      <c r="AP23" t="n">
        <v>0</v>
      </c>
      <c r="AQ23" t="n">
        <v>0</v>
      </c>
      <c r="AR23" t="inlineStr">
        <is>
          <t>No</t>
        </is>
      </c>
      <c r="AS23" t="inlineStr">
        <is>
          <t>Yes</t>
        </is>
      </c>
      <c r="AT23">
        <f>HYPERLINK("http://catalog.hathitrust.org/Record/004455155","HathiTrust Record")</f>
        <v/>
      </c>
      <c r="AU23">
        <f>HYPERLINK("https://creighton-primo.hosted.exlibrisgroup.com/primo-explore/search?tab=default_tab&amp;search_scope=EVERYTHING&amp;vid=01CRU&amp;lang=en_US&amp;offset=0&amp;query=any,contains,991000048629702656","Catalog Record")</f>
        <v/>
      </c>
      <c r="AV23">
        <f>HYPERLINK("http://www.worldcat.org/oclc/8673525","WorldCat Record")</f>
        <v/>
      </c>
      <c r="AW23" t="inlineStr">
        <is>
          <t>474901:eng</t>
        </is>
      </c>
      <c r="AX23" t="inlineStr">
        <is>
          <t>8673525</t>
        </is>
      </c>
      <c r="AY23" t="inlineStr">
        <is>
          <t>991000048629702656</t>
        </is>
      </c>
      <c r="AZ23" t="inlineStr">
        <is>
          <t>991000048629702656</t>
        </is>
      </c>
      <c r="BA23" t="inlineStr">
        <is>
          <t>2272009240002656</t>
        </is>
      </c>
      <c r="BB23" t="inlineStr">
        <is>
          <t>BOOK</t>
        </is>
      </c>
      <c r="BD23" t="inlineStr">
        <is>
          <t>9780525470199</t>
        </is>
      </c>
      <c r="BE23" t="inlineStr">
        <is>
          <t>32285002069309</t>
        </is>
      </c>
      <c r="BF23" t="inlineStr">
        <is>
          <t>893808595</t>
        </is>
      </c>
    </row>
    <row r="24">
      <c r="A24" t="inlineStr">
        <is>
          <t>No</t>
        </is>
      </c>
      <c r="B24" t="inlineStr">
        <is>
          <t>CURAL</t>
        </is>
      </c>
      <c r="C24" t="inlineStr">
        <is>
          <t>SHELVES</t>
        </is>
      </c>
      <c r="D24" t="inlineStr">
        <is>
          <t>PQ143.U6 M37 1993</t>
        </is>
      </c>
      <c r="E24" t="inlineStr">
        <is>
          <t>0                      PQ 0143000U  6                  M  37          1993</t>
        </is>
      </c>
      <c r="F24" t="inlineStr">
        <is>
          <t>Extrême-Occident : French intellectuals and America / Jean-Philippe Mathy.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Mathy, Jean-Philippe.</t>
        </is>
      </c>
      <c r="N24" t="inlineStr">
        <is>
          <t>Chicago : University of Chicago Press, c1993.</t>
        </is>
      </c>
      <c r="O24" t="inlineStr">
        <is>
          <t>1993</t>
        </is>
      </c>
      <c r="Q24" t="inlineStr">
        <is>
          <t>eng</t>
        </is>
      </c>
      <c r="R24" t="inlineStr">
        <is>
          <t>ilu</t>
        </is>
      </c>
      <c r="T24" t="inlineStr">
        <is>
          <t xml:space="preserve">PQ </t>
        </is>
      </c>
      <c r="U24" t="n">
        <v>2</v>
      </c>
      <c r="V24" t="n">
        <v>2</v>
      </c>
      <c r="W24" t="inlineStr">
        <is>
          <t>1994-03-25</t>
        </is>
      </c>
      <c r="X24" t="inlineStr">
        <is>
          <t>1994-03-25</t>
        </is>
      </c>
      <c r="Y24" t="inlineStr">
        <is>
          <t>1994-02-17</t>
        </is>
      </c>
      <c r="Z24" t="inlineStr">
        <is>
          <t>1994-02-17</t>
        </is>
      </c>
      <c r="AA24" t="n">
        <v>382</v>
      </c>
      <c r="AB24" t="n">
        <v>304</v>
      </c>
      <c r="AC24" t="n">
        <v>309</v>
      </c>
      <c r="AD24" t="n">
        <v>3</v>
      </c>
      <c r="AE24" t="n">
        <v>3</v>
      </c>
      <c r="AF24" t="n">
        <v>17</v>
      </c>
      <c r="AG24" t="n">
        <v>17</v>
      </c>
      <c r="AH24" t="n">
        <v>2</v>
      </c>
      <c r="AI24" t="n">
        <v>2</v>
      </c>
      <c r="AJ24" t="n">
        <v>6</v>
      </c>
      <c r="AK24" t="n">
        <v>6</v>
      </c>
      <c r="AL24" t="n">
        <v>11</v>
      </c>
      <c r="AM24" t="n">
        <v>11</v>
      </c>
      <c r="AN24" t="n">
        <v>2</v>
      </c>
      <c r="AO24" t="n">
        <v>2</v>
      </c>
      <c r="AP24" t="n">
        <v>0</v>
      </c>
      <c r="AQ24" t="n">
        <v>0</v>
      </c>
      <c r="AR24" t="inlineStr">
        <is>
          <t>No</t>
        </is>
      </c>
      <c r="AS24" t="inlineStr">
        <is>
          <t>No</t>
        </is>
      </c>
      <c r="AU24">
        <f>HYPERLINK("https://creighton-primo.hosted.exlibrisgroup.com/primo-explore/search?tab=default_tab&amp;search_scope=EVERYTHING&amp;vid=01CRU&amp;lang=en_US&amp;offset=0&amp;query=any,contains,991002146059702656","Catalog Record")</f>
        <v/>
      </c>
      <c r="AV24">
        <f>HYPERLINK("http://www.worldcat.org/oclc/27643073","WorldCat Record")</f>
        <v/>
      </c>
      <c r="AW24" t="inlineStr">
        <is>
          <t>807325990:eng</t>
        </is>
      </c>
      <c r="AX24" t="inlineStr">
        <is>
          <t>27643073</t>
        </is>
      </c>
      <c r="AY24" t="inlineStr">
        <is>
          <t>991002146059702656</t>
        </is>
      </c>
      <c r="AZ24" t="inlineStr">
        <is>
          <t>991002146059702656</t>
        </is>
      </c>
      <c r="BA24" t="inlineStr">
        <is>
          <t>2272060300002656</t>
        </is>
      </c>
      <c r="BB24" t="inlineStr">
        <is>
          <t>BOOK</t>
        </is>
      </c>
      <c r="BD24" t="inlineStr">
        <is>
          <t>9780226510637</t>
        </is>
      </c>
      <c r="BE24" t="inlineStr">
        <is>
          <t>32285001843043</t>
        </is>
      </c>
      <c r="BF24" t="inlineStr">
        <is>
          <t>893256927</t>
        </is>
      </c>
    </row>
    <row r="25">
      <c r="A25" t="inlineStr">
        <is>
          <t>No</t>
        </is>
      </c>
      <c r="B25" t="inlineStr">
        <is>
          <t>CURAL</t>
        </is>
      </c>
      <c r="C25" t="inlineStr">
        <is>
          <t>SHELVES</t>
        </is>
      </c>
      <c r="D25" t="inlineStr">
        <is>
          <t>PQ1448 .G77</t>
        </is>
      </c>
      <c r="E25" t="inlineStr">
        <is>
          <t>0                      PQ 1448000G  77</t>
        </is>
      </c>
      <c r="F25" t="inlineStr">
        <is>
          <t>Chrétien de Troyes: inventor of the modern novel.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Guyer, Foster Erwin, 1884-</t>
        </is>
      </c>
      <c r="N25" t="inlineStr">
        <is>
          <t>New York, Bookman Associates [1957]</t>
        </is>
      </c>
      <c r="O25" t="inlineStr">
        <is>
          <t>1957</t>
        </is>
      </c>
      <c r="Q25" t="inlineStr">
        <is>
          <t>eng</t>
        </is>
      </c>
      <c r="R25" t="inlineStr">
        <is>
          <t>nyu</t>
        </is>
      </c>
      <c r="T25" t="inlineStr">
        <is>
          <t xml:space="preserve">PQ </t>
        </is>
      </c>
      <c r="U25" t="n">
        <v>3</v>
      </c>
      <c r="V25" t="n">
        <v>3</v>
      </c>
      <c r="W25" t="inlineStr">
        <is>
          <t>2000-01-26</t>
        </is>
      </c>
      <c r="X25" t="inlineStr">
        <is>
          <t>2000-01-26</t>
        </is>
      </c>
      <c r="Y25" t="inlineStr">
        <is>
          <t>1997-05-09</t>
        </is>
      </c>
      <c r="Z25" t="inlineStr">
        <is>
          <t>1997-05-09</t>
        </is>
      </c>
      <c r="AA25" t="n">
        <v>509</v>
      </c>
      <c r="AB25" t="n">
        <v>456</v>
      </c>
      <c r="AC25" t="n">
        <v>557</v>
      </c>
      <c r="AD25" t="n">
        <v>3</v>
      </c>
      <c r="AE25" t="n">
        <v>4</v>
      </c>
      <c r="AF25" t="n">
        <v>30</v>
      </c>
      <c r="AG25" t="n">
        <v>36</v>
      </c>
      <c r="AH25" t="n">
        <v>15</v>
      </c>
      <c r="AI25" t="n">
        <v>15</v>
      </c>
      <c r="AJ25" t="n">
        <v>5</v>
      </c>
      <c r="AK25" t="n">
        <v>7</v>
      </c>
      <c r="AL25" t="n">
        <v>17</v>
      </c>
      <c r="AM25" t="n">
        <v>21</v>
      </c>
      <c r="AN25" t="n">
        <v>2</v>
      </c>
      <c r="AO25" t="n">
        <v>3</v>
      </c>
      <c r="AP25" t="n">
        <v>0</v>
      </c>
      <c r="AQ25" t="n">
        <v>0</v>
      </c>
      <c r="AR25" t="inlineStr">
        <is>
          <t>Yes</t>
        </is>
      </c>
      <c r="AS25" t="inlineStr">
        <is>
          <t>No</t>
        </is>
      </c>
      <c r="AT25">
        <f>HYPERLINK("http://catalog.hathitrust.org/Record/001205585","HathiTrust Record")</f>
        <v/>
      </c>
      <c r="AU25">
        <f>HYPERLINK("https://creighton-primo.hosted.exlibrisgroup.com/primo-explore/search?tab=default_tab&amp;search_scope=EVERYTHING&amp;vid=01CRU&amp;lang=en_US&amp;offset=0&amp;query=any,contains,991005108399702656","Catalog Record")</f>
        <v/>
      </c>
      <c r="AV25">
        <f>HYPERLINK("http://www.worldcat.org/oclc/7375901","WorldCat Record")</f>
        <v/>
      </c>
      <c r="AW25" t="inlineStr">
        <is>
          <t>1387956:eng</t>
        </is>
      </c>
      <c r="AX25" t="inlineStr">
        <is>
          <t>7375901</t>
        </is>
      </c>
      <c r="AY25" t="inlineStr">
        <is>
          <t>991005108399702656</t>
        </is>
      </c>
      <c r="AZ25" t="inlineStr">
        <is>
          <t>991005108399702656</t>
        </is>
      </c>
      <c r="BA25" t="inlineStr">
        <is>
          <t>2267808780002656</t>
        </is>
      </c>
      <c r="BB25" t="inlineStr">
        <is>
          <t>BOOK</t>
        </is>
      </c>
      <c r="BE25" t="inlineStr">
        <is>
          <t>32285002651817</t>
        </is>
      </c>
      <c r="BF25" t="inlineStr">
        <is>
          <t>893889682</t>
        </is>
      </c>
    </row>
    <row r="26">
      <c r="A26" t="inlineStr">
        <is>
          <t>No</t>
        </is>
      </c>
      <c r="B26" t="inlineStr">
        <is>
          <t>CURAL</t>
        </is>
      </c>
      <c r="C26" t="inlineStr">
        <is>
          <t>SHELVES</t>
        </is>
      </c>
      <c r="D26" t="inlineStr">
        <is>
          <t>PQ1448 .H74</t>
        </is>
      </c>
      <c r="E26" t="inlineStr">
        <is>
          <t>0                      PQ 1448000H  74</t>
        </is>
      </c>
      <c r="F26" t="inlineStr">
        <is>
          <t>Chrétien de Troyes.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Holmes, Urban T., Jr., 1900-1972.</t>
        </is>
      </c>
      <c r="N26" t="inlineStr">
        <is>
          <t>New York, Twayne Publishers [1970]</t>
        </is>
      </c>
      <c r="O26" t="inlineStr">
        <is>
          <t>1970</t>
        </is>
      </c>
      <c r="Q26" t="inlineStr">
        <is>
          <t>eng</t>
        </is>
      </c>
      <c r="R26" t="inlineStr">
        <is>
          <t>nyu</t>
        </is>
      </c>
      <c r="S26" t="inlineStr">
        <is>
          <t>Twayne's world authors series. TWAS94. France</t>
        </is>
      </c>
      <c r="T26" t="inlineStr">
        <is>
          <t xml:space="preserve">PQ </t>
        </is>
      </c>
      <c r="U26" t="n">
        <v>6</v>
      </c>
      <c r="V26" t="n">
        <v>6</v>
      </c>
      <c r="W26" t="inlineStr">
        <is>
          <t>2000-04-24</t>
        </is>
      </c>
      <c r="X26" t="inlineStr">
        <is>
          <t>2000-04-24</t>
        </is>
      </c>
      <c r="Y26" t="inlineStr">
        <is>
          <t>1997-05-09</t>
        </is>
      </c>
      <c r="Z26" t="inlineStr">
        <is>
          <t>1997-05-09</t>
        </is>
      </c>
      <c r="AA26" t="n">
        <v>853</v>
      </c>
      <c r="AB26" t="n">
        <v>772</v>
      </c>
      <c r="AC26" t="n">
        <v>774</v>
      </c>
      <c r="AD26" t="n">
        <v>5</v>
      </c>
      <c r="AE26" t="n">
        <v>5</v>
      </c>
      <c r="AF26" t="n">
        <v>34</v>
      </c>
      <c r="AG26" t="n">
        <v>34</v>
      </c>
      <c r="AH26" t="n">
        <v>13</v>
      </c>
      <c r="AI26" t="n">
        <v>13</v>
      </c>
      <c r="AJ26" t="n">
        <v>6</v>
      </c>
      <c r="AK26" t="n">
        <v>6</v>
      </c>
      <c r="AL26" t="n">
        <v>20</v>
      </c>
      <c r="AM26" t="n">
        <v>20</v>
      </c>
      <c r="AN26" t="n">
        <v>4</v>
      </c>
      <c r="AO26" t="n">
        <v>4</v>
      </c>
      <c r="AP26" t="n">
        <v>0</v>
      </c>
      <c r="AQ26" t="n">
        <v>0</v>
      </c>
      <c r="AR26" t="inlineStr">
        <is>
          <t>No</t>
        </is>
      </c>
      <c r="AS26" t="inlineStr">
        <is>
          <t>Yes</t>
        </is>
      </c>
      <c r="AT26">
        <f>HYPERLINK("http://catalog.hathitrust.org/Record/001205590","HathiTrust Record")</f>
        <v/>
      </c>
      <c r="AU26">
        <f>HYPERLINK("https://creighton-primo.hosted.exlibrisgroup.com/primo-explore/search?tab=default_tab&amp;search_scope=EVERYTHING&amp;vid=01CRU&amp;lang=en_US&amp;offset=0&amp;query=any,contains,991000691079702656","Catalog Record")</f>
        <v/>
      </c>
      <c r="AV26">
        <f>HYPERLINK("http://www.worldcat.org/oclc/123515","WorldCat Record")</f>
        <v/>
      </c>
      <c r="AW26" t="inlineStr">
        <is>
          <t>3902601200:eng</t>
        </is>
      </c>
      <c r="AX26" t="inlineStr">
        <is>
          <t>123515</t>
        </is>
      </c>
      <c r="AY26" t="inlineStr">
        <is>
          <t>991000691079702656</t>
        </is>
      </c>
      <c r="AZ26" t="inlineStr">
        <is>
          <t>991000691079702656</t>
        </is>
      </c>
      <c r="BA26" t="inlineStr">
        <is>
          <t>2263552690002656</t>
        </is>
      </c>
      <c r="BB26" t="inlineStr">
        <is>
          <t>BOOK</t>
        </is>
      </c>
      <c r="BE26" t="inlineStr">
        <is>
          <t>32285002651825</t>
        </is>
      </c>
      <c r="BF26" t="inlineStr">
        <is>
          <t>893315154</t>
        </is>
      </c>
    </row>
    <row r="27">
      <c r="A27" t="inlineStr">
        <is>
          <t>No</t>
        </is>
      </c>
      <c r="B27" t="inlineStr">
        <is>
          <t>CURAL</t>
        </is>
      </c>
      <c r="C27" t="inlineStr">
        <is>
          <t>SHELVES</t>
        </is>
      </c>
      <c r="D27" t="inlineStr">
        <is>
          <t>PQ1448 .L4</t>
        </is>
      </c>
      <c r="E27" t="inlineStr">
        <is>
          <t>0                      PQ 1448000L  4</t>
        </is>
      </c>
      <c r="F27" t="inlineStr">
        <is>
          <t>Classical mythology and Arthurian romance; a study of the sources of Chrestien de Troyes' "Yvain" and other Arthurian romances, by Charles Bertram Lewis ...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M27" t="inlineStr">
        <is>
          <t>Lewis, C. B. (Charles Bertram)</t>
        </is>
      </c>
      <c r="N27" t="inlineStr">
        <is>
          <t>London, New York [etc.] Pub. for St. Andrews University by H. Milford, Oxford University Press, 1932.</t>
        </is>
      </c>
      <c r="O27" t="inlineStr">
        <is>
          <t>1932</t>
        </is>
      </c>
      <c r="Q27" t="inlineStr">
        <is>
          <t>eng</t>
        </is>
      </c>
      <c r="R27" t="inlineStr">
        <is>
          <t>enk</t>
        </is>
      </c>
      <c r="S27" t="inlineStr">
        <is>
          <t>St. Andrews University publications ; no. 32</t>
        </is>
      </c>
      <c r="T27" t="inlineStr">
        <is>
          <t xml:space="preserve">PQ </t>
        </is>
      </c>
      <c r="U27" t="n">
        <v>1</v>
      </c>
      <c r="V27" t="n">
        <v>1</v>
      </c>
      <c r="W27" t="inlineStr">
        <is>
          <t>2004-10-07</t>
        </is>
      </c>
      <c r="X27" t="inlineStr">
        <is>
          <t>2004-10-07</t>
        </is>
      </c>
      <c r="Y27" t="inlineStr">
        <is>
          <t>1997-05-09</t>
        </is>
      </c>
      <c r="Z27" t="inlineStr">
        <is>
          <t>1997-05-09</t>
        </is>
      </c>
      <c r="AA27" t="n">
        <v>199</v>
      </c>
      <c r="AB27" t="n">
        <v>152</v>
      </c>
      <c r="AC27" t="n">
        <v>192</v>
      </c>
      <c r="AD27" t="n">
        <v>2</v>
      </c>
      <c r="AE27" t="n">
        <v>2</v>
      </c>
      <c r="AF27" t="n">
        <v>9</v>
      </c>
      <c r="AG27" t="n">
        <v>11</v>
      </c>
      <c r="AH27" t="n">
        <v>3</v>
      </c>
      <c r="AI27" t="n">
        <v>3</v>
      </c>
      <c r="AJ27" t="n">
        <v>1</v>
      </c>
      <c r="AK27" t="n">
        <v>2</v>
      </c>
      <c r="AL27" t="n">
        <v>6</v>
      </c>
      <c r="AM27" t="n">
        <v>8</v>
      </c>
      <c r="AN27" t="n">
        <v>1</v>
      </c>
      <c r="AO27" t="n">
        <v>1</v>
      </c>
      <c r="AP27" t="n">
        <v>0</v>
      </c>
      <c r="AQ27" t="n">
        <v>0</v>
      </c>
      <c r="AR27" t="inlineStr">
        <is>
          <t>No</t>
        </is>
      </c>
      <c r="AS27" t="inlineStr">
        <is>
          <t>No</t>
        </is>
      </c>
      <c r="AT27">
        <f>HYPERLINK("http://catalog.hathitrust.org/Record/001205591","HathiTrust Record")</f>
        <v/>
      </c>
      <c r="AU27">
        <f>HYPERLINK("https://creighton-primo.hosted.exlibrisgroup.com/primo-explore/search?tab=default_tab&amp;search_scope=EVERYTHING&amp;vid=01CRU&amp;lang=en_US&amp;offset=0&amp;query=any,contains,991004304509702656","Catalog Record")</f>
        <v/>
      </c>
      <c r="AV27">
        <f>HYPERLINK("http://www.worldcat.org/oclc/2980937","WorldCat Record")</f>
        <v/>
      </c>
      <c r="AW27" t="inlineStr">
        <is>
          <t>1023670:eng</t>
        </is>
      </c>
      <c r="AX27" t="inlineStr">
        <is>
          <t>2980937</t>
        </is>
      </c>
      <c r="AY27" t="inlineStr">
        <is>
          <t>991004304509702656</t>
        </is>
      </c>
      <c r="AZ27" t="inlineStr">
        <is>
          <t>991004304509702656</t>
        </is>
      </c>
      <c r="BA27" t="inlineStr">
        <is>
          <t>2260556070002656</t>
        </is>
      </c>
      <c r="BB27" t="inlineStr">
        <is>
          <t>BOOK</t>
        </is>
      </c>
      <c r="BE27" t="inlineStr">
        <is>
          <t>32285002651833</t>
        </is>
      </c>
      <c r="BF27" t="inlineStr">
        <is>
          <t>893247410</t>
        </is>
      </c>
    </row>
    <row r="28">
      <c r="A28" t="inlineStr">
        <is>
          <t>No</t>
        </is>
      </c>
      <c r="B28" t="inlineStr">
        <is>
          <t>CURAL</t>
        </is>
      </c>
      <c r="C28" t="inlineStr">
        <is>
          <t>SHELVES</t>
        </is>
      </c>
      <c r="D28" t="inlineStr">
        <is>
          <t>PQ1448 .L6</t>
        </is>
      </c>
      <c r="E28" t="inlineStr">
        <is>
          <t>0                      PQ 1448000L  6</t>
        </is>
      </c>
      <c r="F28" t="inlineStr">
        <is>
          <t>Arthurian tradition &amp; Chrétien de Troyes.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Loomis, Roger Sherman, 1887-1966.</t>
        </is>
      </c>
      <c r="N28" t="inlineStr">
        <is>
          <t>New York : Columbia Univ. Press, 1949.</t>
        </is>
      </c>
      <c r="O28" t="inlineStr">
        <is>
          <t>1949</t>
        </is>
      </c>
      <c r="Q28" t="inlineStr">
        <is>
          <t>eng</t>
        </is>
      </c>
      <c r="R28" t="inlineStr">
        <is>
          <t>nyu</t>
        </is>
      </c>
      <c r="T28" t="inlineStr">
        <is>
          <t xml:space="preserve">PQ </t>
        </is>
      </c>
      <c r="U28" t="n">
        <v>13</v>
      </c>
      <c r="V28" t="n">
        <v>13</v>
      </c>
      <c r="W28" t="inlineStr">
        <is>
          <t>2000-04-24</t>
        </is>
      </c>
      <c r="X28" t="inlineStr">
        <is>
          <t>2000-04-24</t>
        </is>
      </c>
      <c r="Y28" t="inlineStr">
        <is>
          <t>1991-07-11</t>
        </is>
      </c>
      <c r="Z28" t="inlineStr">
        <is>
          <t>1991-07-11</t>
        </is>
      </c>
      <c r="AA28" t="n">
        <v>644</v>
      </c>
      <c r="AB28" t="n">
        <v>545</v>
      </c>
      <c r="AC28" t="n">
        <v>674</v>
      </c>
      <c r="AD28" t="n">
        <v>5</v>
      </c>
      <c r="AE28" t="n">
        <v>5</v>
      </c>
      <c r="AF28" t="n">
        <v>36</v>
      </c>
      <c r="AG28" t="n">
        <v>43</v>
      </c>
      <c r="AH28" t="n">
        <v>17</v>
      </c>
      <c r="AI28" t="n">
        <v>20</v>
      </c>
      <c r="AJ28" t="n">
        <v>9</v>
      </c>
      <c r="AK28" t="n">
        <v>11</v>
      </c>
      <c r="AL28" t="n">
        <v>19</v>
      </c>
      <c r="AM28" t="n">
        <v>22</v>
      </c>
      <c r="AN28" t="n">
        <v>4</v>
      </c>
      <c r="AO28" t="n">
        <v>4</v>
      </c>
      <c r="AP28" t="n">
        <v>0</v>
      </c>
      <c r="AQ28" t="n">
        <v>0</v>
      </c>
      <c r="AR28" t="inlineStr">
        <is>
          <t>No</t>
        </is>
      </c>
      <c r="AS28" t="inlineStr">
        <is>
          <t>Yes</t>
        </is>
      </c>
      <c r="AT28">
        <f>HYPERLINK("http://catalog.hathitrust.org/Record/001205592","HathiTrust Record")</f>
        <v/>
      </c>
      <c r="AU28">
        <f>HYPERLINK("https://creighton-primo.hosted.exlibrisgroup.com/primo-explore/search?tab=default_tab&amp;search_scope=EVERYTHING&amp;vid=01CRU&amp;lang=en_US&amp;offset=0&amp;query=any,contains,991002399599702656","Catalog Record")</f>
        <v/>
      </c>
      <c r="AV28">
        <f>HYPERLINK("http://www.worldcat.org/oclc/336265","WorldCat Record")</f>
        <v/>
      </c>
      <c r="AW28" t="inlineStr">
        <is>
          <t>451255:eng</t>
        </is>
      </c>
      <c r="AX28" t="inlineStr">
        <is>
          <t>336265</t>
        </is>
      </c>
      <c r="AY28" t="inlineStr">
        <is>
          <t>991002399599702656</t>
        </is>
      </c>
      <c r="AZ28" t="inlineStr">
        <is>
          <t>991002399599702656</t>
        </is>
      </c>
      <c r="BA28" t="inlineStr">
        <is>
          <t>2255155780002656</t>
        </is>
      </c>
      <c r="BB28" t="inlineStr">
        <is>
          <t>BOOK</t>
        </is>
      </c>
      <c r="BE28" t="inlineStr">
        <is>
          <t>32285000638196</t>
        </is>
      </c>
      <c r="BF28" t="inlineStr">
        <is>
          <t>893704026</t>
        </is>
      </c>
    </row>
    <row r="29">
      <c r="A29" t="inlineStr">
        <is>
          <t>No</t>
        </is>
      </c>
      <c r="B29" t="inlineStr">
        <is>
          <t>CURAL</t>
        </is>
      </c>
      <c r="C29" t="inlineStr">
        <is>
          <t>SHELVES</t>
        </is>
      </c>
      <c r="D29" t="inlineStr">
        <is>
          <t>PQ1448 .Z3</t>
        </is>
      </c>
      <c r="E29" t="inlineStr">
        <is>
          <t>0                      PQ 1448000Z  3</t>
        </is>
      </c>
      <c r="F29" t="inlineStr">
        <is>
          <t>Chrétien studies: problems of form and meaning in Erec, Yvain, Cligés and the Charrete, by Z.P. Zaddy.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Zaddy, Zara Patricia.</t>
        </is>
      </c>
      <c r="N29" t="inlineStr">
        <is>
          <t>Glasgow, University of Glasgow Press, 1973.</t>
        </is>
      </c>
      <c r="O29" t="inlineStr">
        <is>
          <t>1973</t>
        </is>
      </c>
      <c r="Q29" t="inlineStr">
        <is>
          <t>eng</t>
        </is>
      </c>
      <c r="R29" t="inlineStr">
        <is>
          <t>stk</t>
        </is>
      </c>
      <c r="T29" t="inlineStr">
        <is>
          <t xml:space="preserve">PQ </t>
        </is>
      </c>
      <c r="U29" t="n">
        <v>3</v>
      </c>
      <c r="V29" t="n">
        <v>3</v>
      </c>
      <c r="W29" t="inlineStr">
        <is>
          <t>2000-04-24</t>
        </is>
      </c>
      <c r="X29" t="inlineStr">
        <is>
          <t>2000-04-24</t>
        </is>
      </c>
      <c r="Y29" t="inlineStr">
        <is>
          <t>1997-05-09</t>
        </is>
      </c>
      <c r="Z29" t="inlineStr">
        <is>
          <t>1997-05-09</t>
        </is>
      </c>
      <c r="AA29" t="n">
        <v>293</v>
      </c>
      <c r="AB29" t="n">
        <v>212</v>
      </c>
      <c r="AC29" t="n">
        <v>212</v>
      </c>
      <c r="AD29" t="n">
        <v>3</v>
      </c>
      <c r="AE29" t="n">
        <v>3</v>
      </c>
      <c r="AF29" t="n">
        <v>18</v>
      </c>
      <c r="AG29" t="n">
        <v>18</v>
      </c>
      <c r="AH29" t="n">
        <v>5</v>
      </c>
      <c r="AI29" t="n">
        <v>5</v>
      </c>
      <c r="AJ29" t="n">
        <v>4</v>
      </c>
      <c r="AK29" t="n">
        <v>4</v>
      </c>
      <c r="AL29" t="n">
        <v>13</v>
      </c>
      <c r="AM29" t="n">
        <v>13</v>
      </c>
      <c r="AN29" t="n">
        <v>2</v>
      </c>
      <c r="AO29" t="n">
        <v>2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HYPERLINK("http://catalog.hathitrust.org/Record/001205594","HathiTrust Record")</f>
        <v/>
      </c>
      <c r="AU29">
        <f>HYPERLINK("https://creighton-primo.hosted.exlibrisgroup.com/primo-explore/search?tab=default_tab&amp;search_scope=EVERYTHING&amp;vid=01CRU&amp;lang=en_US&amp;offset=0&amp;query=any,contains,991003644159702656","Catalog Record")</f>
        <v/>
      </c>
      <c r="AV29">
        <f>HYPERLINK("http://www.worldcat.org/oclc/1243574","WorldCat Record")</f>
        <v/>
      </c>
      <c r="AW29" t="inlineStr">
        <is>
          <t>2149794:mul</t>
        </is>
      </c>
      <c r="AX29" t="inlineStr">
        <is>
          <t>1243574</t>
        </is>
      </c>
      <c r="AY29" t="inlineStr">
        <is>
          <t>991003644159702656</t>
        </is>
      </c>
      <c r="AZ29" t="inlineStr">
        <is>
          <t>991003644159702656</t>
        </is>
      </c>
      <c r="BA29" t="inlineStr">
        <is>
          <t>2261403250002656</t>
        </is>
      </c>
      <c r="BB29" t="inlineStr">
        <is>
          <t>BOOK</t>
        </is>
      </c>
      <c r="BD29" t="inlineStr">
        <is>
          <t>9780852610923</t>
        </is>
      </c>
      <c r="BE29" t="inlineStr">
        <is>
          <t>32285002651841</t>
        </is>
      </c>
      <c r="BF29" t="inlineStr">
        <is>
          <t>893422788</t>
        </is>
      </c>
    </row>
    <row r="30">
      <c r="A30" t="inlineStr">
        <is>
          <t>No</t>
        </is>
      </c>
      <c r="B30" t="inlineStr">
        <is>
          <t>CURAL</t>
        </is>
      </c>
      <c r="C30" t="inlineStr">
        <is>
          <t>SHELVES</t>
        </is>
      </c>
      <c r="D30" t="inlineStr">
        <is>
          <t>PQ145.1.G6 G6 1959</t>
        </is>
      </c>
      <c r="E30" t="inlineStr">
        <is>
          <t>0                      PQ 0145100G  6                  G  6           1959</t>
        </is>
      </c>
      <c r="F30" t="inlineStr">
        <is>
          <t>Le dieu caché : étude sur la vision tragique dans les Pensées de Pascal et dans le théâtre de Racine / Lucien Goldmann.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Goldmann, Lucien.</t>
        </is>
      </c>
      <c r="N30" t="inlineStr">
        <is>
          <t>[Paris] : Gallimard, [1959]</t>
        </is>
      </c>
      <c r="O30" t="inlineStr">
        <is>
          <t>1959</t>
        </is>
      </c>
      <c r="Q30" t="inlineStr">
        <is>
          <t>fre</t>
        </is>
      </c>
      <c r="R30" t="inlineStr">
        <is>
          <t xml:space="preserve">xx </t>
        </is>
      </c>
      <c r="S30" t="inlineStr">
        <is>
          <t>Bibliothèque des idées</t>
        </is>
      </c>
      <c r="T30" t="inlineStr">
        <is>
          <t xml:space="preserve">PQ </t>
        </is>
      </c>
      <c r="U30" t="n">
        <v>1</v>
      </c>
      <c r="V30" t="n">
        <v>1</v>
      </c>
      <c r="W30" t="inlineStr">
        <is>
          <t>1997-02-26</t>
        </is>
      </c>
      <c r="X30" t="inlineStr">
        <is>
          <t>1997-02-26</t>
        </is>
      </c>
      <c r="Y30" t="inlineStr">
        <is>
          <t>1995-10-16</t>
        </is>
      </c>
      <c r="Z30" t="inlineStr">
        <is>
          <t>1995-10-16</t>
        </is>
      </c>
      <c r="AA30" t="n">
        <v>200</v>
      </c>
      <c r="AB30" t="n">
        <v>156</v>
      </c>
      <c r="AC30" t="n">
        <v>417</v>
      </c>
      <c r="AD30" t="n">
        <v>1</v>
      </c>
      <c r="AE30" t="n">
        <v>4</v>
      </c>
      <c r="AF30" t="n">
        <v>5</v>
      </c>
      <c r="AG30" t="n">
        <v>22</v>
      </c>
      <c r="AH30" t="n">
        <v>2</v>
      </c>
      <c r="AI30" t="n">
        <v>7</v>
      </c>
      <c r="AJ30" t="n">
        <v>0</v>
      </c>
      <c r="AK30" t="n">
        <v>5</v>
      </c>
      <c r="AL30" t="n">
        <v>3</v>
      </c>
      <c r="AM30" t="n">
        <v>14</v>
      </c>
      <c r="AN30" t="n">
        <v>0</v>
      </c>
      <c r="AO30" t="n">
        <v>3</v>
      </c>
      <c r="AP30" t="n">
        <v>0</v>
      </c>
      <c r="AQ30" t="n">
        <v>0</v>
      </c>
      <c r="AR30" t="inlineStr">
        <is>
          <t>No</t>
        </is>
      </c>
      <c r="AS30" t="inlineStr">
        <is>
          <t>No</t>
        </is>
      </c>
      <c r="AU30">
        <f>HYPERLINK("https://creighton-primo.hosted.exlibrisgroup.com/primo-explore/search?tab=default_tab&amp;search_scope=EVERYTHING&amp;vid=01CRU&amp;lang=en_US&amp;offset=0&amp;query=any,contains,991003032079702656","Catalog Record")</f>
        <v/>
      </c>
      <c r="AV30">
        <f>HYPERLINK("http://www.worldcat.org/oclc/595014","WorldCat Record")</f>
        <v/>
      </c>
      <c r="AW30" t="inlineStr">
        <is>
          <t>364967735:fre</t>
        </is>
      </c>
      <c r="AX30" t="inlineStr">
        <is>
          <t>595014</t>
        </is>
      </c>
      <c r="AY30" t="inlineStr">
        <is>
          <t>991003032079702656</t>
        </is>
      </c>
      <c r="AZ30" t="inlineStr">
        <is>
          <t>991003032079702656</t>
        </is>
      </c>
      <c r="BA30" t="inlineStr">
        <is>
          <t>2272347690002656</t>
        </is>
      </c>
      <c r="BB30" t="inlineStr">
        <is>
          <t>BOOK</t>
        </is>
      </c>
      <c r="BE30" t="inlineStr">
        <is>
          <t>32285002096302</t>
        </is>
      </c>
      <c r="BF30" t="inlineStr">
        <is>
          <t>893686119</t>
        </is>
      </c>
    </row>
    <row r="31">
      <c r="A31" t="inlineStr">
        <is>
          <t>No</t>
        </is>
      </c>
      <c r="B31" t="inlineStr">
        <is>
          <t>CURAL</t>
        </is>
      </c>
      <c r="C31" t="inlineStr">
        <is>
          <t>SHELVES</t>
        </is>
      </c>
      <c r="D31" t="inlineStr">
        <is>
          <t>PQ145.1.H4 R52 1983</t>
        </is>
      </c>
      <c r="E31" t="inlineStr">
        <is>
          <t>0                      PQ 0145100H  4                  R  52          1983</t>
        </is>
      </c>
      <c r="F31" t="inlineStr">
        <is>
          <t>The Christian tragic hero in French and English literature / George Ross Ridge and Benedict Chiaka Njoku.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Ridge, George Ross.</t>
        </is>
      </c>
      <c r="N31" t="inlineStr">
        <is>
          <t>Atlantic Highlands, NJ : Humanities Press, 1983.</t>
        </is>
      </c>
      <c r="O31" t="inlineStr">
        <is>
          <t>1983</t>
        </is>
      </c>
      <c r="Q31" t="inlineStr">
        <is>
          <t>eng</t>
        </is>
      </c>
      <c r="R31" t="inlineStr">
        <is>
          <t>nju</t>
        </is>
      </c>
      <c r="T31" t="inlineStr">
        <is>
          <t xml:space="preserve">PQ </t>
        </is>
      </c>
      <c r="U31" t="n">
        <v>3</v>
      </c>
      <c r="V31" t="n">
        <v>3</v>
      </c>
      <c r="W31" t="inlineStr">
        <is>
          <t>1995-03-02</t>
        </is>
      </c>
      <c r="X31" t="inlineStr">
        <is>
          <t>1995-03-02</t>
        </is>
      </c>
      <c r="Y31" t="inlineStr">
        <is>
          <t>1992-08-03</t>
        </is>
      </c>
      <c r="Z31" t="inlineStr">
        <is>
          <t>1992-08-03</t>
        </is>
      </c>
      <c r="AA31" t="n">
        <v>323</v>
      </c>
      <c r="AB31" t="n">
        <v>275</v>
      </c>
      <c r="AC31" t="n">
        <v>282</v>
      </c>
      <c r="AD31" t="n">
        <v>3</v>
      </c>
      <c r="AE31" t="n">
        <v>3</v>
      </c>
      <c r="AF31" t="n">
        <v>12</v>
      </c>
      <c r="AG31" t="n">
        <v>12</v>
      </c>
      <c r="AH31" t="n">
        <v>3</v>
      </c>
      <c r="AI31" t="n">
        <v>3</v>
      </c>
      <c r="AJ31" t="n">
        <v>3</v>
      </c>
      <c r="AK31" t="n">
        <v>3</v>
      </c>
      <c r="AL31" t="n">
        <v>7</v>
      </c>
      <c r="AM31" t="n">
        <v>7</v>
      </c>
      <c r="AN31" t="n">
        <v>2</v>
      </c>
      <c r="AO31" t="n">
        <v>2</v>
      </c>
      <c r="AP31" t="n">
        <v>0</v>
      </c>
      <c r="AQ31" t="n">
        <v>0</v>
      </c>
      <c r="AR31" t="inlineStr">
        <is>
          <t>No</t>
        </is>
      </c>
      <c r="AS31" t="inlineStr">
        <is>
          <t>Yes</t>
        </is>
      </c>
      <c r="AT31">
        <f>HYPERLINK("http://catalog.hathitrust.org/Record/000202658","HathiTrust Record")</f>
        <v/>
      </c>
      <c r="AU31">
        <f>HYPERLINK("https://creighton-primo.hosted.exlibrisgroup.com/primo-explore/search?tab=default_tab&amp;search_scope=EVERYTHING&amp;vid=01CRU&amp;lang=en_US&amp;offset=0&amp;query=any,contains,991000173299702656","Catalog Record")</f>
        <v/>
      </c>
      <c r="AV31">
        <f>HYPERLINK("http://www.worldcat.org/oclc/9325156","WorldCat Record")</f>
        <v/>
      </c>
      <c r="AW31" t="inlineStr">
        <is>
          <t>19793793:eng</t>
        </is>
      </c>
      <c r="AX31" t="inlineStr">
        <is>
          <t>9325156</t>
        </is>
      </c>
      <c r="AY31" t="inlineStr">
        <is>
          <t>991000173299702656</t>
        </is>
      </c>
      <c r="AZ31" t="inlineStr">
        <is>
          <t>991000173299702656</t>
        </is>
      </c>
      <c r="BA31" t="inlineStr">
        <is>
          <t>2267487110002656</t>
        </is>
      </c>
      <c r="BB31" t="inlineStr">
        <is>
          <t>BOOK</t>
        </is>
      </c>
      <c r="BD31" t="inlineStr">
        <is>
          <t>9780391028586</t>
        </is>
      </c>
      <c r="BE31" t="inlineStr">
        <is>
          <t>32285001250736</t>
        </is>
      </c>
      <c r="BF31" t="inlineStr">
        <is>
          <t>893589238</t>
        </is>
      </c>
    </row>
    <row r="32">
      <c r="A32" t="inlineStr">
        <is>
          <t>No</t>
        </is>
      </c>
      <c r="B32" t="inlineStr">
        <is>
          <t>CURAL</t>
        </is>
      </c>
      <c r="C32" t="inlineStr">
        <is>
          <t>SHELVES</t>
        </is>
      </c>
      <c r="D32" t="inlineStr">
        <is>
          <t>PQ145.4.R4 M57 1994</t>
        </is>
      </c>
      <c r="E32" t="inlineStr">
        <is>
          <t>0                      PQ 0145400R  4                  M  57          1994</t>
        </is>
      </c>
      <c r="F32" t="inlineStr">
        <is>
          <t>L'illusion réaliste : de Balzac à Aragon / Henri Mitterand.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Mitterand, Henri.</t>
        </is>
      </c>
      <c r="N32" t="inlineStr">
        <is>
          <t>Paris : Presses universitaires de France, c1994.</t>
        </is>
      </c>
      <c r="O32" t="inlineStr">
        <is>
          <t>1994</t>
        </is>
      </c>
      <c r="P32" t="inlineStr">
        <is>
          <t>1. éd.</t>
        </is>
      </c>
      <c r="Q32" t="inlineStr">
        <is>
          <t>fre</t>
        </is>
      </c>
      <c r="R32" t="inlineStr">
        <is>
          <t xml:space="preserve">fr </t>
        </is>
      </c>
      <c r="S32" t="inlineStr">
        <is>
          <t>Ecriture, 0222-1179</t>
        </is>
      </c>
      <c r="T32" t="inlineStr">
        <is>
          <t xml:space="preserve">PQ </t>
        </is>
      </c>
      <c r="U32" t="n">
        <v>1</v>
      </c>
      <c r="V32" t="n">
        <v>1</v>
      </c>
      <c r="W32" t="inlineStr">
        <is>
          <t>2007-04-28</t>
        </is>
      </c>
      <c r="X32" t="inlineStr">
        <is>
          <t>2007-04-28</t>
        </is>
      </c>
      <c r="Y32" t="inlineStr">
        <is>
          <t>1996-07-01</t>
        </is>
      </c>
      <c r="Z32" t="inlineStr">
        <is>
          <t>1996-07-01</t>
        </is>
      </c>
      <c r="AA32" t="n">
        <v>129</v>
      </c>
      <c r="AB32" t="n">
        <v>62</v>
      </c>
      <c r="AC32" t="n">
        <v>101</v>
      </c>
      <c r="AD32" t="n">
        <v>2</v>
      </c>
      <c r="AE32" t="n">
        <v>3</v>
      </c>
      <c r="AF32" t="n">
        <v>5</v>
      </c>
      <c r="AG32" t="n">
        <v>6</v>
      </c>
      <c r="AH32" t="n">
        <v>0</v>
      </c>
      <c r="AI32" t="n">
        <v>0</v>
      </c>
      <c r="AJ32" t="n">
        <v>2</v>
      </c>
      <c r="AK32" t="n">
        <v>2</v>
      </c>
      <c r="AL32" t="n">
        <v>3</v>
      </c>
      <c r="AM32" t="n">
        <v>3</v>
      </c>
      <c r="AN32" t="n">
        <v>1</v>
      </c>
      <c r="AO32" t="n">
        <v>2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HYPERLINK("https://creighton-primo.hosted.exlibrisgroup.com/primo-explore/search?tab=default_tab&amp;search_scope=EVERYTHING&amp;vid=01CRU&amp;lang=en_US&amp;offset=0&amp;query=any,contains,991002577289702656","Catalog Record")</f>
        <v/>
      </c>
      <c r="AV32">
        <f>HYPERLINK("http://www.worldcat.org/oclc/33665830","WorldCat Record")</f>
        <v/>
      </c>
      <c r="AW32" t="inlineStr">
        <is>
          <t>365074362:fre</t>
        </is>
      </c>
      <c r="AX32" t="inlineStr">
        <is>
          <t>33665830</t>
        </is>
      </c>
      <c r="AY32" t="inlineStr">
        <is>
          <t>991002577289702656</t>
        </is>
      </c>
      <c r="AZ32" t="inlineStr">
        <is>
          <t>991002577289702656</t>
        </is>
      </c>
      <c r="BA32" t="inlineStr">
        <is>
          <t>2259613430002656</t>
        </is>
      </c>
      <c r="BB32" t="inlineStr">
        <is>
          <t>BOOK</t>
        </is>
      </c>
      <c r="BD32" t="inlineStr">
        <is>
          <t>9782130465973</t>
        </is>
      </c>
      <c r="BE32" t="inlineStr">
        <is>
          <t>32285002205127</t>
        </is>
      </c>
      <c r="BF32" t="inlineStr">
        <is>
          <t>893434039</t>
        </is>
      </c>
    </row>
    <row r="33">
      <c r="A33" t="inlineStr">
        <is>
          <t>No</t>
        </is>
      </c>
      <c r="B33" t="inlineStr">
        <is>
          <t>CURAL</t>
        </is>
      </c>
      <c r="C33" t="inlineStr">
        <is>
          <t>SHELVES</t>
        </is>
      </c>
      <c r="D33" t="inlineStr">
        <is>
          <t>PQ145.7.A2 C45 1996</t>
        </is>
      </c>
      <c r="E33" t="inlineStr">
        <is>
          <t>0                      PQ 0145700A  2                  C  45          1996</t>
        </is>
      </c>
      <c r="F33" t="inlineStr">
        <is>
          <t>From cannibals to radicals : figures and limits of exoticism / Roger Célestin.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Célestin, Roger.</t>
        </is>
      </c>
      <c r="N33" t="inlineStr">
        <is>
          <t>Minneapolis : University of Minnesota Press, c1996.</t>
        </is>
      </c>
      <c r="O33" t="inlineStr">
        <is>
          <t>1996</t>
        </is>
      </c>
      <c r="Q33" t="inlineStr">
        <is>
          <t>eng</t>
        </is>
      </c>
      <c r="R33" t="inlineStr">
        <is>
          <t>mnu</t>
        </is>
      </c>
      <c r="T33" t="inlineStr">
        <is>
          <t xml:space="preserve">PQ </t>
        </is>
      </c>
      <c r="U33" t="n">
        <v>3</v>
      </c>
      <c r="V33" t="n">
        <v>3</v>
      </c>
      <c r="W33" t="inlineStr">
        <is>
          <t>2005-03-21</t>
        </is>
      </c>
      <c r="X33" t="inlineStr">
        <is>
          <t>2005-03-21</t>
        </is>
      </c>
      <c r="Y33" t="inlineStr">
        <is>
          <t>1996-12-11</t>
        </is>
      </c>
      <c r="Z33" t="inlineStr">
        <is>
          <t>1996-12-11</t>
        </is>
      </c>
      <c r="AA33" t="n">
        <v>363</v>
      </c>
      <c r="AB33" t="n">
        <v>285</v>
      </c>
      <c r="AC33" t="n">
        <v>771</v>
      </c>
      <c r="AD33" t="n">
        <v>3</v>
      </c>
      <c r="AE33" t="n">
        <v>6</v>
      </c>
      <c r="AF33" t="n">
        <v>21</v>
      </c>
      <c r="AG33" t="n">
        <v>39</v>
      </c>
      <c r="AH33" t="n">
        <v>7</v>
      </c>
      <c r="AI33" t="n">
        <v>15</v>
      </c>
      <c r="AJ33" t="n">
        <v>8</v>
      </c>
      <c r="AK33" t="n">
        <v>11</v>
      </c>
      <c r="AL33" t="n">
        <v>11</v>
      </c>
      <c r="AM33" t="n">
        <v>17</v>
      </c>
      <c r="AN33" t="n">
        <v>2</v>
      </c>
      <c r="AO33" t="n">
        <v>5</v>
      </c>
      <c r="AP33" t="n">
        <v>0</v>
      </c>
      <c r="AQ33" t="n">
        <v>1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HYPERLINK("https://creighton-primo.hosted.exlibrisgroup.com/primo-explore/search?tab=default_tab&amp;search_scope=EVERYTHING&amp;vid=01CRU&amp;lang=en_US&amp;offset=0&amp;query=any,contains,991002534219702656","Catalog Record")</f>
        <v/>
      </c>
      <c r="AV33">
        <f>HYPERLINK("http://www.worldcat.org/oclc/32924559","WorldCat Record")</f>
        <v/>
      </c>
      <c r="AW33" t="inlineStr">
        <is>
          <t>794048378:eng</t>
        </is>
      </c>
      <c r="AX33" t="inlineStr">
        <is>
          <t>32924559</t>
        </is>
      </c>
      <c r="AY33" t="inlineStr">
        <is>
          <t>991002534219702656</t>
        </is>
      </c>
      <c r="AZ33" t="inlineStr">
        <is>
          <t>991002534219702656</t>
        </is>
      </c>
      <c r="BA33" t="inlineStr">
        <is>
          <t>2262479130002656</t>
        </is>
      </c>
      <c r="BB33" t="inlineStr">
        <is>
          <t>BOOK</t>
        </is>
      </c>
      <c r="BD33" t="inlineStr">
        <is>
          <t>9780816626045</t>
        </is>
      </c>
      <c r="BE33" t="inlineStr">
        <is>
          <t>32285002392396</t>
        </is>
      </c>
      <c r="BF33" t="inlineStr">
        <is>
          <t>893433987</t>
        </is>
      </c>
    </row>
    <row r="34">
      <c r="A34" t="inlineStr">
        <is>
          <t>No</t>
        </is>
      </c>
      <c r="B34" t="inlineStr">
        <is>
          <t>CURAL</t>
        </is>
      </c>
      <c r="C34" t="inlineStr">
        <is>
          <t>SHELVES</t>
        </is>
      </c>
      <c r="D34" t="inlineStr">
        <is>
          <t>PQ1472 .B6</t>
        </is>
      </c>
      <c r="E34" t="inlineStr">
        <is>
          <t>0                      PQ 1472000B  6</t>
        </is>
      </c>
      <c r="F34" t="inlineStr">
        <is>
          <t>The Romance of the Grail: a study of the structure and genesis of a thirteenth-century Arthurian prose romance.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No</t>
        </is>
      </c>
      <c r="L34" t="inlineStr">
        <is>
          <t>0</t>
        </is>
      </c>
      <c r="M34" t="inlineStr">
        <is>
          <t>Bogdanow, Fanni.</t>
        </is>
      </c>
      <c r="N34" t="inlineStr">
        <is>
          <t>Manchester, Manchester U.P.; New York, Barnes &amp; Noble, 1966.</t>
        </is>
      </c>
      <c r="O34" t="inlineStr">
        <is>
          <t>1966</t>
        </is>
      </c>
      <c r="Q34" t="inlineStr">
        <is>
          <t>eng</t>
        </is>
      </c>
      <c r="R34" t="inlineStr">
        <is>
          <t>enk</t>
        </is>
      </c>
      <c r="T34" t="inlineStr">
        <is>
          <t xml:space="preserve">PQ </t>
        </is>
      </c>
      <c r="U34" t="n">
        <v>2</v>
      </c>
      <c r="V34" t="n">
        <v>2</v>
      </c>
      <c r="W34" t="inlineStr">
        <is>
          <t>1998-09-10</t>
        </is>
      </c>
      <c r="X34" t="inlineStr">
        <is>
          <t>1998-09-10</t>
        </is>
      </c>
      <c r="Y34" t="inlineStr">
        <is>
          <t>1997-05-09</t>
        </is>
      </c>
      <c r="Z34" t="inlineStr">
        <is>
          <t>1997-05-09</t>
        </is>
      </c>
      <c r="AA34" t="n">
        <v>714</v>
      </c>
      <c r="AB34" t="n">
        <v>569</v>
      </c>
      <c r="AC34" t="n">
        <v>577</v>
      </c>
      <c r="AD34" t="n">
        <v>5</v>
      </c>
      <c r="AE34" t="n">
        <v>5</v>
      </c>
      <c r="AF34" t="n">
        <v>34</v>
      </c>
      <c r="AG34" t="n">
        <v>34</v>
      </c>
      <c r="AH34" t="n">
        <v>15</v>
      </c>
      <c r="AI34" t="n">
        <v>15</v>
      </c>
      <c r="AJ34" t="n">
        <v>8</v>
      </c>
      <c r="AK34" t="n">
        <v>8</v>
      </c>
      <c r="AL34" t="n">
        <v>16</v>
      </c>
      <c r="AM34" t="n">
        <v>16</v>
      </c>
      <c r="AN34" t="n">
        <v>4</v>
      </c>
      <c r="AO34" t="n">
        <v>4</v>
      </c>
      <c r="AP34" t="n">
        <v>0</v>
      </c>
      <c r="AQ34" t="n">
        <v>0</v>
      </c>
      <c r="AR34" t="inlineStr">
        <is>
          <t>No</t>
        </is>
      </c>
      <c r="AS34" t="inlineStr">
        <is>
          <t>Yes</t>
        </is>
      </c>
      <c r="AT34">
        <f>HYPERLINK("http://catalog.hathitrust.org/Record/001111099","HathiTrust Record")</f>
        <v/>
      </c>
      <c r="AU34">
        <f>HYPERLINK("https://creighton-primo.hosted.exlibrisgroup.com/primo-explore/search?tab=default_tab&amp;search_scope=EVERYTHING&amp;vid=01CRU&amp;lang=en_US&amp;offset=0&amp;query=any,contains,991004149209702656","Catalog Record")</f>
        <v/>
      </c>
      <c r="AV34">
        <f>HYPERLINK("http://www.worldcat.org/oclc/336367","WorldCat Record")</f>
        <v/>
      </c>
      <c r="AW34" t="inlineStr">
        <is>
          <t>235743610:eng</t>
        </is>
      </c>
      <c r="AX34" t="inlineStr">
        <is>
          <t>336367</t>
        </is>
      </c>
      <c r="AY34" t="inlineStr">
        <is>
          <t>991004149209702656</t>
        </is>
      </c>
      <c r="AZ34" t="inlineStr">
        <is>
          <t>991004149209702656</t>
        </is>
      </c>
      <c r="BA34" t="inlineStr">
        <is>
          <t>2267010840002656</t>
        </is>
      </c>
      <c r="BB34" t="inlineStr">
        <is>
          <t>BOOK</t>
        </is>
      </c>
      <c r="BE34" t="inlineStr">
        <is>
          <t>32285002651908</t>
        </is>
      </c>
      <c r="BF34" t="inlineStr">
        <is>
          <t>893624400</t>
        </is>
      </c>
    </row>
    <row r="35">
      <c r="A35" t="inlineStr">
        <is>
          <t>No</t>
        </is>
      </c>
      <c r="B35" t="inlineStr">
        <is>
          <t>CURAL</t>
        </is>
      </c>
      <c r="C35" t="inlineStr">
        <is>
          <t>SHELVES</t>
        </is>
      </c>
      <c r="D35" t="inlineStr">
        <is>
          <t>PQ1475 .L6 1967</t>
        </is>
      </c>
      <c r="E35" t="inlineStr">
        <is>
          <t>0                      PQ 1475000L  6           1967</t>
        </is>
      </c>
      <c r="F35" t="inlineStr">
        <is>
          <t>The quest for the Holy Grail; a literary study of a thirteenth-century French romance.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Locke, Frederick W.</t>
        </is>
      </c>
      <c r="N35" t="inlineStr">
        <is>
          <t>New York, AMS Press, 1967 [c1960]</t>
        </is>
      </c>
      <c r="O35" t="inlineStr">
        <is>
          <t>1967</t>
        </is>
      </c>
      <c r="Q35" t="inlineStr">
        <is>
          <t>eng</t>
        </is>
      </c>
      <c r="R35" t="inlineStr">
        <is>
          <t xml:space="preserve">xx </t>
        </is>
      </c>
      <c r="S35" t="inlineStr">
        <is>
          <t>Stanford studies in languages and literature, 21</t>
        </is>
      </c>
      <c r="T35" t="inlineStr">
        <is>
          <t xml:space="preserve">PQ </t>
        </is>
      </c>
      <c r="U35" t="n">
        <v>2</v>
      </c>
      <c r="V35" t="n">
        <v>2</v>
      </c>
      <c r="W35" t="inlineStr">
        <is>
          <t>1998-03-02</t>
        </is>
      </c>
      <c r="X35" t="inlineStr">
        <is>
          <t>1998-03-02</t>
        </is>
      </c>
      <c r="Y35" t="inlineStr">
        <is>
          <t>1997-05-09</t>
        </is>
      </c>
      <c r="Z35" t="inlineStr">
        <is>
          <t>1997-05-09</t>
        </is>
      </c>
      <c r="AA35" t="n">
        <v>206</v>
      </c>
      <c r="AB35" t="n">
        <v>188</v>
      </c>
      <c r="AC35" t="n">
        <v>584</v>
      </c>
      <c r="AD35" t="n">
        <v>2</v>
      </c>
      <c r="AE35" t="n">
        <v>4</v>
      </c>
      <c r="AF35" t="n">
        <v>10</v>
      </c>
      <c r="AG35" t="n">
        <v>35</v>
      </c>
      <c r="AH35" t="n">
        <v>4</v>
      </c>
      <c r="AI35" t="n">
        <v>13</v>
      </c>
      <c r="AJ35" t="n">
        <v>5</v>
      </c>
      <c r="AK35" t="n">
        <v>9</v>
      </c>
      <c r="AL35" t="n">
        <v>2</v>
      </c>
      <c r="AM35" t="n">
        <v>19</v>
      </c>
      <c r="AN35" t="n">
        <v>1</v>
      </c>
      <c r="AO35" t="n">
        <v>3</v>
      </c>
      <c r="AP35" t="n">
        <v>1</v>
      </c>
      <c r="AQ35" t="n">
        <v>1</v>
      </c>
      <c r="AR35" t="inlineStr">
        <is>
          <t>No</t>
        </is>
      </c>
      <c r="AS35" t="inlineStr">
        <is>
          <t>Yes</t>
        </is>
      </c>
      <c r="AT35">
        <f>HYPERLINK("http://catalog.hathitrust.org/Record/001678748","HathiTrust Record")</f>
        <v/>
      </c>
      <c r="AU35">
        <f>HYPERLINK("https://creighton-primo.hosted.exlibrisgroup.com/primo-explore/search?tab=default_tab&amp;search_scope=EVERYTHING&amp;vid=01CRU&amp;lang=en_US&amp;offset=0&amp;query=any,contains,991002695909702656","Catalog Record")</f>
        <v/>
      </c>
      <c r="AV35">
        <f>HYPERLINK("http://www.worldcat.org/oclc/403559","WorldCat Record")</f>
        <v/>
      </c>
      <c r="AW35" t="inlineStr">
        <is>
          <t>1424244:eng</t>
        </is>
      </c>
      <c r="AX35" t="inlineStr">
        <is>
          <t>403559</t>
        </is>
      </c>
      <c r="AY35" t="inlineStr">
        <is>
          <t>991002695909702656</t>
        </is>
      </c>
      <c r="AZ35" t="inlineStr">
        <is>
          <t>991002695909702656</t>
        </is>
      </c>
      <c r="BA35" t="inlineStr">
        <is>
          <t>2259896040002656</t>
        </is>
      </c>
      <c r="BB35" t="inlineStr">
        <is>
          <t>BOOK</t>
        </is>
      </c>
      <c r="BE35" t="inlineStr">
        <is>
          <t>32285002651916</t>
        </is>
      </c>
      <c r="BF35" t="inlineStr">
        <is>
          <t>893245520</t>
        </is>
      </c>
    </row>
    <row r="36">
      <c r="A36" t="inlineStr">
        <is>
          <t>No</t>
        </is>
      </c>
      <c r="B36" t="inlineStr">
        <is>
          <t>CURAL</t>
        </is>
      </c>
      <c r="C36" t="inlineStr">
        <is>
          <t>SHELVES</t>
        </is>
      </c>
      <c r="D36" t="inlineStr">
        <is>
          <t>PQ1475 .M67</t>
        </is>
      </c>
      <c r="E36" t="inlineStr">
        <is>
          <t>0                      PQ 1475000M  67</t>
        </is>
      </c>
      <c r="F36" t="inlineStr">
        <is>
          <t>The pattern of judgment in the Queste and Cleanness / Charlotte C. Morse. --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No</t>
        </is>
      </c>
      <c r="L36" t="inlineStr">
        <is>
          <t>0</t>
        </is>
      </c>
      <c r="M36" t="inlineStr">
        <is>
          <t>Morse, Charlotte C., 1942-</t>
        </is>
      </c>
      <c r="N36" t="inlineStr">
        <is>
          <t>Columbia : University of Missouri Press, 1978.</t>
        </is>
      </c>
      <c r="O36" t="inlineStr">
        <is>
          <t>1978</t>
        </is>
      </c>
      <c r="Q36" t="inlineStr">
        <is>
          <t>eng</t>
        </is>
      </c>
      <c r="R36" t="inlineStr">
        <is>
          <t>mou</t>
        </is>
      </c>
      <c r="T36" t="inlineStr">
        <is>
          <t xml:space="preserve">PQ </t>
        </is>
      </c>
      <c r="U36" t="n">
        <v>2</v>
      </c>
      <c r="V36" t="n">
        <v>2</v>
      </c>
      <c r="W36" t="inlineStr">
        <is>
          <t>1998-03-02</t>
        </is>
      </c>
      <c r="X36" t="inlineStr">
        <is>
          <t>1998-03-02</t>
        </is>
      </c>
      <c r="Y36" t="inlineStr">
        <is>
          <t>1992-08-04</t>
        </is>
      </c>
      <c r="Z36" t="inlineStr">
        <is>
          <t>1992-08-04</t>
        </is>
      </c>
      <c r="AA36" t="n">
        <v>372</v>
      </c>
      <c r="AB36" t="n">
        <v>299</v>
      </c>
      <c r="AC36" t="n">
        <v>306</v>
      </c>
      <c r="AD36" t="n">
        <v>3</v>
      </c>
      <c r="AE36" t="n">
        <v>3</v>
      </c>
      <c r="AF36" t="n">
        <v>15</v>
      </c>
      <c r="AG36" t="n">
        <v>15</v>
      </c>
      <c r="AH36" t="n">
        <v>3</v>
      </c>
      <c r="AI36" t="n">
        <v>3</v>
      </c>
      <c r="AJ36" t="n">
        <v>4</v>
      </c>
      <c r="AK36" t="n">
        <v>4</v>
      </c>
      <c r="AL36" t="n">
        <v>10</v>
      </c>
      <c r="AM36" t="n">
        <v>10</v>
      </c>
      <c r="AN36" t="n">
        <v>2</v>
      </c>
      <c r="AO36" t="n">
        <v>2</v>
      </c>
      <c r="AP36" t="n">
        <v>0</v>
      </c>
      <c r="AQ36" t="n">
        <v>0</v>
      </c>
      <c r="AR36" t="inlineStr">
        <is>
          <t>No</t>
        </is>
      </c>
      <c r="AS36" t="inlineStr">
        <is>
          <t>Yes</t>
        </is>
      </c>
      <c r="AT36">
        <f>HYPERLINK("http://catalog.hathitrust.org/Record/000087464","HathiTrust Record")</f>
        <v/>
      </c>
      <c r="AU36">
        <f>HYPERLINK("https://creighton-primo.hosted.exlibrisgroup.com/primo-explore/search?tab=default_tab&amp;search_scope=EVERYTHING&amp;vid=01CRU&amp;lang=en_US&amp;offset=0&amp;query=any,contains,991004445869702656","Catalog Record")</f>
        <v/>
      </c>
      <c r="AV36">
        <f>HYPERLINK("http://www.worldcat.org/oclc/3481491","WorldCat Record")</f>
        <v/>
      </c>
      <c r="AW36" t="inlineStr">
        <is>
          <t>10544454:eng</t>
        </is>
      </c>
      <c r="AX36" t="inlineStr">
        <is>
          <t>3481491</t>
        </is>
      </c>
      <c r="AY36" t="inlineStr">
        <is>
          <t>991004445869702656</t>
        </is>
      </c>
      <c r="AZ36" t="inlineStr">
        <is>
          <t>991004445869702656</t>
        </is>
      </c>
      <c r="BA36" t="inlineStr">
        <is>
          <t>2264389900002656</t>
        </is>
      </c>
      <c r="BB36" t="inlineStr">
        <is>
          <t>BOOK</t>
        </is>
      </c>
      <c r="BD36" t="inlineStr">
        <is>
          <t>9780826202420</t>
        </is>
      </c>
      <c r="BE36" t="inlineStr">
        <is>
          <t>32285001251577</t>
        </is>
      </c>
      <c r="BF36" t="inlineStr">
        <is>
          <t>893259740</t>
        </is>
      </c>
    </row>
    <row r="37">
      <c r="A37" t="inlineStr">
        <is>
          <t>No</t>
        </is>
      </c>
      <c r="B37" t="inlineStr">
        <is>
          <t>CURAL</t>
        </is>
      </c>
      <c r="C37" t="inlineStr">
        <is>
          <t>SHELVES</t>
        </is>
      </c>
      <c r="D37" t="inlineStr">
        <is>
          <t>PQ1489.L2 E56 2000</t>
        </is>
      </c>
      <c r="E37" t="inlineStr">
        <is>
          <t>0                      PQ 1489000L  2                  E  56          2000</t>
        </is>
      </c>
      <c r="F37" t="inlineStr">
        <is>
          <t>The Lancelot-Grail reader : selections from the medieval French Arthurian cycle / edited by Norris J. Lacy.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Lancelot (Prose cycle). Selections. English.</t>
        </is>
      </c>
      <c r="N37" t="inlineStr">
        <is>
          <t>New York : Garland Pub., 2000.</t>
        </is>
      </c>
      <c r="O37" t="inlineStr">
        <is>
          <t>2000</t>
        </is>
      </c>
      <c r="Q37" t="inlineStr">
        <is>
          <t>eng</t>
        </is>
      </c>
      <c r="R37" t="inlineStr">
        <is>
          <t>nyu</t>
        </is>
      </c>
      <c r="S37" t="inlineStr">
        <is>
          <t>Garland reference library of the humanities ; 2162</t>
        </is>
      </c>
      <c r="T37" t="inlineStr">
        <is>
          <t xml:space="preserve">PQ </t>
        </is>
      </c>
      <c r="U37" t="n">
        <v>1</v>
      </c>
      <c r="V37" t="n">
        <v>1</v>
      </c>
      <c r="W37" t="inlineStr">
        <is>
          <t>2005-10-31</t>
        </is>
      </c>
      <c r="X37" t="inlineStr">
        <is>
          <t>2005-10-31</t>
        </is>
      </c>
      <c r="Y37" t="inlineStr">
        <is>
          <t>2002-05-14</t>
        </is>
      </c>
      <c r="Z37" t="inlineStr">
        <is>
          <t>2002-05-14</t>
        </is>
      </c>
      <c r="AA37" t="n">
        <v>173</v>
      </c>
      <c r="AB37" t="n">
        <v>134</v>
      </c>
      <c r="AC37" t="n">
        <v>140</v>
      </c>
      <c r="AD37" t="n">
        <v>2</v>
      </c>
      <c r="AE37" t="n">
        <v>2</v>
      </c>
      <c r="AF37" t="n">
        <v>10</v>
      </c>
      <c r="AG37" t="n">
        <v>10</v>
      </c>
      <c r="AH37" t="n">
        <v>5</v>
      </c>
      <c r="AI37" t="n">
        <v>5</v>
      </c>
      <c r="AJ37" t="n">
        <v>2</v>
      </c>
      <c r="AK37" t="n">
        <v>2</v>
      </c>
      <c r="AL37" t="n">
        <v>3</v>
      </c>
      <c r="AM37" t="n">
        <v>3</v>
      </c>
      <c r="AN37" t="n">
        <v>1</v>
      </c>
      <c r="AO37" t="n">
        <v>1</v>
      </c>
      <c r="AP37" t="n">
        <v>0</v>
      </c>
      <c r="AQ37" t="n">
        <v>0</v>
      </c>
      <c r="AR37" t="inlineStr">
        <is>
          <t>No</t>
        </is>
      </c>
      <c r="AS37" t="inlineStr">
        <is>
          <t>No</t>
        </is>
      </c>
      <c r="AU37">
        <f>HYPERLINK("https://creighton-primo.hosted.exlibrisgroup.com/primo-explore/search?tab=default_tab&amp;search_scope=EVERYTHING&amp;vid=01CRU&amp;lang=en_US&amp;offset=0&amp;query=any,contains,991003791999702656","Catalog Record")</f>
        <v/>
      </c>
      <c r="AV37">
        <f>HYPERLINK("http://www.worldcat.org/oclc/41940161","WorldCat Record")</f>
        <v/>
      </c>
      <c r="AW37" t="inlineStr">
        <is>
          <t>371962159:eng</t>
        </is>
      </c>
      <c r="AX37" t="inlineStr">
        <is>
          <t>41940161</t>
        </is>
      </c>
      <c r="AY37" t="inlineStr">
        <is>
          <t>991003791999702656</t>
        </is>
      </c>
      <c r="AZ37" t="inlineStr">
        <is>
          <t>991003791999702656</t>
        </is>
      </c>
      <c r="BA37" t="inlineStr">
        <is>
          <t>2265937770002656</t>
        </is>
      </c>
      <c r="BB37" t="inlineStr">
        <is>
          <t>BOOK</t>
        </is>
      </c>
      <c r="BD37" t="inlineStr">
        <is>
          <t>9780815334194</t>
        </is>
      </c>
      <c r="BE37" t="inlineStr">
        <is>
          <t>32285004488176</t>
        </is>
      </c>
      <c r="BF37" t="inlineStr">
        <is>
          <t>893258870</t>
        </is>
      </c>
    </row>
    <row r="38">
      <c r="A38" t="inlineStr">
        <is>
          <t>No</t>
        </is>
      </c>
      <c r="B38" t="inlineStr">
        <is>
          <t>CURAL</t>
        </is>
      </c>
      <c r="C38" t="inlineStr">
        <is>
          <t>SHELVES</t>
        </is>
      </c>
      <c r="D38" t="inlineStr">
        <is>
          <t>PQ1494 .L2 1960</t>
        </is>
      </c>
      <c r="E38" t="inlineStr">
        <is>
          <t>0                      PQ 1494000L  2           1960</t>
        </is>
      </c>
      <c r="F38" t="inlineStr">
        <is>
          <t>Lais / Marie de France ; edited by Alfred Ewert.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Marie, de France, active 12th century.</t>
        </is>
      </c>
      <c r="N38" t="inlineStr">
        <is>
          <t>Oxford, Oxfordshire, UK ; New York, NY, USA : Blackwell, c1960.</t>
        </is>
      </c>
      <c r="O38" t="inlineStr">
        <is>
          <t>1960</t>
        </is>
      </c>
      <c r="Q38" t="inlineStr">
        <is>
          <t>fre</t>
        </is>
      </c>
      <c r="R38" t="inlineStr">
        <is>
          <t>enk</t>
        </is>
      </c>
      <c r="S38" t="inlineStr">
        <is>
          <t>Blackwell's French texts</t>
        </is>
      </c>
      <c r="T38" t="inlineStr">
        <is>
          <t xml:space="preserve">PQ </t>
        </is>
      </c>
      <c r="U38" t="n">
        <v>3</v>
      </c>
      <c r="V38" t="n">
        <v>3</v>
      </c>
      <c r="W38" t="inlineStr">
        <is>
          <t>2001-09-25</t>
        </is>
      </c>
      <c r="X38" t="inlineStr">
        <is>
          <t>2001-09-25</t>
        </is>
      </c>
      <c r="Y38" t="inlineStr">
        <is>
          <t>1997-12-04</t>
        </is>
      </c>
      <c r="Z38" t="inlineStr">
        <is>
          <t>1997-12-04</t>
        </is>
      </c>
      <c r="AA38" t="n">
        <v>62</v>
      </c>
      <c r="AB38" t="n">
        <v>38</v>
      </c>
      <c r="AC38" t="n">
        <v>170</v>
      </c>
      <c r="AD38" t="n">
        <v>2</v>
      </c>
      <c r="AE38" t="n">
        <v>4</v>
      </c>
      <c r="AF38" t="n">
        <v>2</v>
      </c>
      <c r="AG38" t="n">
        <v>11</v>
      </c>
      <c r="AH38" t="n">
        <v>1</v>
      </c>
      <c r="AI38" t="n">
        <v>3</v>
      </c>
      <c r="AJ38" t="n">
        <v>0</v>
      </c>
      <c r="AK38" t="n">
        <v>1</v>
      </c>
      <c r="AL38" t="n">
        <v>0</v>
      </c>
      <c r="AM38" t="n">
        <v>4</v>
      </c>
      <c r="AN38" t="n">
        <v>1</v>
      </c>
      <c r="AO38" t="n">
        <v>3</v>
      </c>
      <c r="AP38" t="n">
        <v>0</v>
      </c>
      <c r="AQ38" t="n">
        <v>0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HYPERLINK("https://creighton-primo.hosted.exlibrisgroup.com/primo-explore/search?tab=default_tab&amp;search_scope=EVERYTHING&amp;vid=01CRU&amp;lang=en_US&amp;offset=0&amp;query=any,contains,991000843789702656","Catalog Record")</f>
        <v/>
      </c>
      <c r="AV38">
        <f>HYPERLINK("http://www.worldcat.org/oclc/13542725","WorldCat Record")</f>
        <v/>
      </c>
      <c r="AW38" t="inlineStr">
        <is>
          <t>5578394718:fre</t>
        </is>
      </c>
      <c r="AX38" t="inlineStr">
        <is>
          <t>13542725</t>
        </is>
      </c>
      <c r="AY38" t="inlineStr">
        <is>
          <t>991000843789702656</t>
        </is>
      </c>
      <c r="AZ38" t="inlineStr">
        <is>
          <t>991000843789702656</t>
        </is>
      </c>
      <c r="BA38" t="inlineStr">
        <is>
          <t>2272527520002656</t>
        </is>
      </c>
      <c r="BB38" t="inlineStr">
        <is>
          <t>BOOK</t>
        </is>
      </c>
      <c r="BD38" t="inlineStr">
        <is>
          <t>9780631004707</t>
        </is>
      </c>
      <c r="BE38" t="inlineStr">
        <is>
          <t>32285003290235</t>
        </is>
      </c>
      <c r="BF38" t="inlineStr">
        <is>
          <t>893231462</t>
        </is>
      </c>
    </row>
    <row r="39">
      <c r="A39" t="inlineStr">
        <is>
          <t>No</t>
        </is>
      </c>
      <c r="B39" t="inlineStr">
        <is>
          <t>CURAL</t>
        </is>
      </c>
      <c r="C39" t="inlineStr">
        <is>
          <t>SHELVES</t>
        </is>
      </c>
      <c r="D39" t="inlineStr">
        <is>
          <t>PQ1501.P35 E5 1978</t>
        </is>
      </c>
      <c r="E39" t="inlineStr">
        <is>
          <t>0                      PQ 1501000P  35                 E  5           1978</t>
        </is>
      </c>
      <c r="F39" t="inlineStr">
        <is>
          <t>The high book of the Grail : a translation of the thirteenth century romance of Perlesvaus / Nigel Bryant.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Perlesvaus. English.</t>
        </is>
      </c>
      <c r="N39" t="inlineStr">
        <is>
          <t>Ipswich : Brewer ; Totowa, N.J. : Rowman and Littlefield, 1978.</t>
        </is>
      </c>
      <c r="O39" t="inlineStr">
        <is>
          <t>1978</t>
        </is>
      </c>
      <c r="Q39" t="inlineStr">
        <is>
          <t>eng</t>
        </is>
      </c>
      <c r="R39" t="inlineStr">
        <is>
          <t>enk</t>
        </is>
      </c>
      <c r="T39" t="inlineStr">
        <is>
          <t xml:space="preserve">PQ </t>
        </is>
      </c>
      <c r="U39" t="n">
        <v>1</v>
      </c>
      <c r="V39" t="n">
        <v>1</v>
      </c>
      <c r="W39" t="inlineStr">
        <is>
          <t>2002-04-25</t>
        </is>
      </c>
      <c r="X39" t="inlineStr">
        <is>
          <t>2002-04-25</t>
        </is>
      </c>
      <c r="Y39" t="inlineStr">
        <is>
          <t>1991-04-30</t>
        </is>
      </c>
      <c r="Z39" t="inlineStr">
        <is>
          <t>1991-04-30</t>
        </is>
      </c>
      <c r="AA39" t="n">
        <v>520</v>
      </c>
      <c r="AB39" t="n">
        <v>412</v>
      </c>
      <c r="AC39" t="n">
        <v>435</v>
      </c>
      <c r="AD39" t="n">
        <v>3</v>
      </c>
      <c r="AE39" t="n">
        <v>3</v>
      </c>
      <c r="AF39" t="n">
        <v>18</v>
      </c>
      <c r="AG39" t="n">
        <v>20</v>
      </c>
      <c r="AH39" t="n">
        <v>4</v>
      </c>
      <c r="AI39" t="n">
        <v>5</v>
      </c>
      <c r="AJ39" t="n">
        <v>5</v>
      </c>
      <c r="AK39" t="n">
        <v>6</v>
      </c>
      <c r="AL39" t="n">
        <v>11</v>
      </c>
      <c r="AM39" t="n">
        <v>11</v>
      </c>
      <c r="AN39" t="n">
        <v>2</v>
      </c>
      <c r="AO39" t="n">
        <v>2</v>
      </c>
      <c r="AP39" t="n">
        <v>0</v>
      </c>
      <c r="AQ39" t="n">
        <v>0</v>
      </c>
      <c r="AR39" t="inlineStr">
        <is>
          <t>No</t>
        </is>
      </c>
      <c r="AS39" t="inlineStr">
        <is>
          <t>Yes</t>
        </is>
      </c>
      <c r="AT39">
        <f>HYPERLINK("http://catalog.hathitrust.org/Record/009494327","HathiTrust Record")</f>
        <v/>
      </c>
      <c r="AU39">
        <f>HYPERLINK("https://creighton-primo.hosted.exlibrisgroup.com/primo-explore/search?tab=default_tab&amp;search_scope=EVERYTHING&amp;vid=01CRU&amp;lang=en_US&amp;offset=0&amp;query=any,contains,991004725739702656","Catalog Record")</f>
        <v/>
      </c>
      <c r="AV39">
        <f>HYPERLINK("http://www.worldcat.org/oclc/4809458","WorldCat Record")</f>
        <v/>
      </c>
      <c r="AW39" t="inlineStr">
        <is>
          <t>889797575:eng</t>
        </is>
      </c>
      <c r="AX39" t="inlineStr">
        <is>
          <t>4809458</t>
        </is>
      </c>
      <c r="AY39" t="inlineStr">
        <is>
          <t>991004725739702656</t>
        </is>
      </c>
      <c r="AZ39" t="inlineStr">
        <is>
          <t>991004725739702656</t>
        </is>
      </c>
      <c r="BA39" t="inlineStr">
        <is>
          <t>2272604430002656</t>
        </is>
      </c>
      <c r="BB39" t="inlineStr">
        <is>
          <t>BOOK</t>
        </is>
      </c>
      <c r="BD39" t="inlineStr">
        <is>
          <t>9780859910392</t>
        </is>
      </c>
      <c r="BE39" t="inlineStr">
        <is>
          <t>32285000527837</t>
        </is>
      </c>
      <c r="BF39" t="inlineStr">
        <is>
          <t>893776365</t>
        </is>
      </c>
    </row>
    <row r="40">
      <c r="A40" t="inlineStr">
        <is>
          <t>No</t>
        </is>
      </c>
      <c r="B40" t="inlineStr">
        <is>
          <t>CURAL</t>
        </is>
      </c>
      <c r="C40" t="inlineStr">
        <is>
          <t>SHELVES</t>
        </is>
      </c>
      <c r="D40" t="inlineStr">
        <is>
          <t>PQ151 .M84 1985</t>
        </is>
      </c>
      <c r="E40" t="inlineStr">
        <is>
          <t>0                      PQ 0151000M  84          1985</t>
        </is>
      </c>
      <c r="F40" t="inlineStr">
        <is>
          <t>Literature and society in medieval France : the mirror and the image, 1100-1500 / Lynette R. Muir.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M40" t="inlineStr">
        <is>
          <t>Muir, Lynette R.</t>
        </is>
      </c>
      <c r="N40" t="inlineStr">
        <is>
          <t>New York : St. Martin's Press, 1985.</t>
        </is>
      </c>
      <c r="O40" t="inlineStr">
        <is>
          <t>1985</t>
        </is>
      </c>
      <c r="Q40" t="inlineStr">
        <is>
          <t>eng</t>
        </is>
      </c>
      <c r="R40" t="inlineStr">
        <is>
          <t>nyu</t>
        </is>
      </c>
      <c r="T40" t="inlineStr">
        <is>
          <t xml:space="preserve">PQ </t>
        </is>
      </c>
      <c r="U40" t="n">
        <v>2</v>
      </c>
      <c r="V40" t="n">
        <v>2</v>
      </c>
      <c r="W40" t="inlineStr">
        <is>
          <t>2010-03-31</t>
        </is>
      </c>
      <c r="X40" t="inlineStr">
        <is>
          <t>2010-03-31</t>
        </is>
      </c>
      <c r="Y40" t="inlineStr">
        <is>
          <t>1992-05-01</t>
        </is>
      </c>
      <c r="Z40" t="inlineStr">
        <is>
          <t>1992-05-01</t>
        </is>
      </c>
      <c r="AA40" t="n">
        <v>365</v>
      </c>
      <c r="AB40" t="n">
        <v>325</v>
      </c>
      <c r="AC40" t="n">
        <v>399</v>
      </c>
      <c r="AD40" t="n">
        <v>1</v>
      </c>
      <c r="AE40" t="n">
        <v>3</v>
      </c>
      <c r="AF40" t="n">
        <v>12</v>
      </c>
      <c r="AG40" t="n">
        <v>18</v>
      </c>
      <c r="AH40" t="n">
        <v>8</v>
      </c>
      <c r="AI40" t="n">
        <v>8</v>
      </c>
      <c r="AJ40" t="n">
        <v>2</v>
      </c>
      <c r="AK40" t="n">
        <v>4</v>
      </c>
      <c r="AL40" t="n">
        <v>8</v>
      </c>
      <c r="AM40" t="n">
        <v>11</v>
      </c>
      <c r="AN40" t="n">
        <v>0</v>
      </c>
      <c r="AO40" t="n">
        <v>2</v>
      </c>
      <c r="AP40" t="n">
        <v>0</v>
      </c>
      <c r="AQ40" t="n">
        <v>0</v>
      </c>
      <c r="AR40" t="inlineStr">
        <is>
          <t>No</t>
        </is>
      </c>
      <c r="AS40" t="inlineStr">
        <is>
          <t>No</t>
        </is>
      </c>
      <c r="AU40">
        <f>HYPERLINK("https://creighton-primo.hosted.exlibrisgroup.com/primo-explore/search?tab=default_tab&amp;search_scope=EVERYTHING&amp;vid=01CRU&amp;lang=en_US&amp;offset=0&amp;query=any,contains,991000642669702656","Catalog Record")</f>
        <v/>
      </c>
      <c r="AV40">
        <f>HYPERLINK("http://www.worldcat.org/oclc/12107409","WorldCat Record")</f>
        <v/>
      </c>
      <c r="AW40" t="inlineStr">
        <is>
          <t>836662912:eng</t>
        </is>
      </c>
      <c r="AX40" t="inlineStr">
        <is>
          <t>12107409</t>
        </is>
      </c>
      <c r="AY40" t="inlineStr">
        <is>
          <t>991000642669702656</t>
        </is>
      </c>
      <c r="AZ40" t="inlineStr">
        <is>
          <t>991000642669702656</t>
        </is>
      </c>
      <c r="BA40" t="inlineStr">
        <is>
          <t>2268291520002656</t>
        </is>
      </c>
      <c r="BB40" t="inlineStr">
        <is>
          <t>BOOK</t>
        </is>
      </c>
      <c r="BD40" t="inlineStr">
        <is>
          <t>9780312487485</t>
        </is>
      </c>
      <c r="BE40" t="inlineStr">
        <is>
          <t>32285001091296</t>
        </is>
      </c>
      <c r="BF40" t="inlineStr">
        <is>
          <t>893249531</t>
        </is>
      </c>
    </row>
    <row r="41">
      <c r="A41" t="inlineStr">
        <is>
          <t>No</t>
        </is>
      </c>
      <c r="B41" t="inlineStr">
        <is>
          <t>CURAL</t>
        </is>
      </c>
      <c r="C41" t="inlineStr">
        <is>
          <t>SHELVES</t>
        </is>
      </c>
      <c r="D41" t="inlineStr">
        <is>
          <t>PQ151 .Z5413 1998</t>
        </is>
      </c>
      <c r="E41" t="inlineStr">
        <is>
          <t>0                      PQ 0151000Z  5413        1998</t>
        </is>
      </c>
      <c r="F41" t="inlineStr">
        <is>
          <t>The enchantment of the Middle Ages / Michel Zink ; translated by Jane Marie Todd.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M41" t="inlineStr">
        <is>
          <t>Zink, Michel.</t>
        </is>
      </c>
      <c r="N41" t="inlineStr">
        <is>
          <t>Baltimore, MD : Johns Hopkins University Press, 1998.</t>
        </is>
      </c>
      <c r="O41" t="inlineStr">
        <is>
          <t>1998</t>
        </is>
      </c>
      <c r="Q41" t="inlineStr">
        <is>
          <t>eng</t>
        </is>
      </c>
      <c r="R41" t="inlineStr">
        <is>
          <t>mdu</t>
        </is>
      </c>
      <c r="S41" t="inlineStr">
        <is>
          <t>Parallax : re-visions of culture and society</t>
        </is>
      </c>
      <c r="T41" t="inlineStr">
        <is>
          <t xml:space="preserve">PQ </t>
        </is>
      </c>
      <c r="U41" t="n">
        <v>1</v>
      </c>
      <c r="V41" t="n">
        <v>1</v>
      </c>
      <c r="W41" t="inlineStr">
        <is>
          <t>2009-02-09</t>
        </is>
      </c>
      <c r="X41" t="inlineStr">
        <is>
          <t>2009-02-09</t>
        </is>
      </c>
      <c r="Y41" t="inlineStr">
        <is>
          <t>2009-02-09</t>
        </is>
      </c>
      <c r="Z41" t="inlineStr">
        <is>
          <t>2009-02-09</t>
        </is>
      </c>
      <c r="AA41" t="n">
        <v>326</v>
      </c>
      <c r="AB41" t="n">
        <v>271</v>
      </c>
      <c r="AC41" t="n">
        <v>273</v>
      </c>
      <c r="AD41" t="n">
        <v>3</v>
      </c>
      <c r="AE41" t="n">
        <v>3</v>
      </c>
      <c r="AF41" t="n">
        <v>18</v>
      </c>
      <c r="AG41" t="n">
        <v>18</v>
      </c>
      <c r="AH41" t="n">
        <v>4</v>
      </c>
      <c r="AI41" t="n">
        <v>4</v>
      </c>
      <c r="AJ41" t="n">
        <v>6</v>
      </c>
      <c r="AK41" t="n">
        <v>6</v>
      </c>
      <c r="AL41" t="n">
        <v>9</v>
      </c>
      <c r="AM41" t="n">
        <v>9</v>
      </c>
      <c r="AN41" t="n">
        <v>2</v>
      </c>
      <c r="AO41" t="n">
        <v>2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HYPERLINK("http://catalog.hathitrust.org/Record/003976139","HathiTrust Record")</f>
        <v/>
      </c>
      <c r="AU41">
        <f>HYPERLINK("https://creighton-primo.hosted.exlibrisgroup.com/primo-explore/search?tab=default_tab&amp;search_scope=EVERYTHING&amp;vid=01CRU&amp;lang=en_US&amp;offset=0&amp;query=any,contains,991005296099702656","Catalog Record")</f>
        <v/>
      </c>
      <c r="AV41">
        <f>HYPERLINK("http://www.worldcat.org/oclc/37652113","WorldCat Record")</f>
        <v/>
      </c>
      <c r="AW41" t="inlineStr">
        <is>
          <t>1151913645:eng</t>
        </is>
      </c>
      <c r="AX41" t="inlineStr">
        <is>
          <t>37652113</t>
        </is>
      </c>
      <c r="AY41" t="inlineStr">
        <is>
          <t>991005296099702656</t>
        </is>
      </c>
      <c r="AZ41" t="inlineStr">
        <is>
          <t>991005296099702656</t>
        </is>
      </c>
      <c r="BA41" t="inlineStr">
        <is>
          <t>2271422330002656</t>
        </is>
      </c>
      <c r="BB41" t="inlineStr">
        <is>
          <t>BOOK</t>
        </is>
      </c>
      <c r="BD41" t="inlineStr">
        <is>
          <t>9780801858185</t>
        </is>
      </c>
      <c r="BE41" t="inlineStr">
        <is>
          <t>32285005503445</t>
        </is>
      </c>
      <c r="BF41" t="inlineStr">
        <is>
          <t>893883637</t>
        </is>
      </c>
    </row>
    <row r="42">
      <c r="A42" t="inlineStr">
        <is>
          <t>No</t>
        </is>
      </c>
      <c r="B42" t="inlineStr">
        <is>
          <t>CURAL</t>
        </is>
      </c>
      <c r="C42" t="inlineStr">
        <is>
          <t>SHELVES</t>
        </is>
      </c>
      <c r="D42" t="inlineStr">
        <is>
          <t>PQ1524.E8 J6 1963</t>
        </is>
      </c>
      <c r="E42" t="inlineStr">
        <is>
          <t>0                      PQ 1524000E  8                  J  6           1963</t>
        </is>
      </c>
      <c r="F42" t="inlineStr">
        <is>
          <t>The ethos of the Song of Roland.</t>
        </is>
      </c>
      <c r="H42" t="inlineStr">
        <is>
          <t>No</t>
        </is>
      </c>
      <c r="I42" t="inlineStr">
        <is>
          <t>1</t>
        </is>
      </c>
      <c r="J42" t="inlineStr">
        <is>
          <t>No</t>
        </is>
      </c>
      <c r="K42" t="inlineStr">
        <is>
          <t>No</t>
        </is>
      </c>
      <c r="L42" t="inlineStr">
        <is>
          <t>0</t>
        </is>
      </c>
      <c r="M42" t="inlineStr">
        <is>
          <t>Jones, George Fenwick, 1916-2010.</t>
        </is>
      </c>
      <c r="N42" t="inlineStr">
        <is>
          <t>Baltimore : Johns Hopkins Press, 1963.</t>
        </is>
      </c>
      <c r="O42" t="inlineStr">
        <is>
          <t>1963</t>
        </is>
      </c>
      <c r="Q42" t="inlineStr">
        <is>
          <t>eng</t>
        </is>
      </c>
      <c r="R42" t="inlineStr">
        <is>
          <t>mdu</t>
        </is>
      </c>
      <c r="T42" t="inlineStr">
        <is>
          <t xml:space="preserve">PQ </t>
        </is>
      </c>
      <c r="U42" t="n">
        <v>4</v>
      </c>
      <c r="V42" t="n">
        <v>4</v>
      </c>
      <c r="W42" t="inlineStr">
        <is>
          <t>1998-11-02</t>
        </is>
      </c>
      <c r="X42" t="inlineStr">
        <is>
          <t>1998-11-02</t>
        </is>
      </c>
      <c r="Y42" t="inlineStr">
        <is>
          <t>1991-10-29</t>
        </is>
      </c>
      <c r="Z42" t="inlineStr">
        <is>
          <t>1991-10-29</t>
        </is>
      </c>
      <c r="AA42" t="n">
        <v>747</v>
      </c>
      <c r="AB42" t="n">
        <v>640</v>
      </c>
      <c r="AC42" t="n">
        <v>658</v>
      </c>
      <c r="AD42" t="n">
        <v>6</v>
      </c>
      <c r="AE42" t="n">
        <v>6</v>
      </c>
      <c r="AF42" t="n">
        <v>39</v>
      </c>
      <c r="AG42" t="n">
        <v>39</v>
      </c>
      <c r="AH42" t="n">
        <v>12</v>
      </c>
      <c r="AI42" t="n">
        <v>12</v>
      </c>
      <c r="AJ42" t="n">
        <v>9</v>
      </c>
      <c r="AK42" t="n">
        <v>9</v>
      </c>
      <c r="AL42" t="n">
        <v>22</v>
      </c>
      <c r="AM42" t="n">
        <v>22</v>
      </c>
      <c r="AN42" t="n">
        <v>5</v>
      </c>
      <c r="AO42" t="n">
        <v>5</v>
      </c>
      <c r="AP42" t="n">
        <v>0</v>
      </c>
      <c r="AQ42" t="n">
        <v>0</v>
      </c>
      <c r="AR42" t="inlineStr">
        <is>
          <t>No</t>
        </is>
      </c>
      <c r="AS42" t="inlineStr">
        <is>
          <t>Yes</t>
        </is>
      </c>
      <c r="AT42">
        <f>HYPERLINK("http://catalog.hathitrust.org/Record/001205304","HathiTrust Record")</f>
        <v/>
      </c>
      <c r="AU42">
        <f>HYPERLINK("https://creighton-primo.hosted.exlibrisgroup.com/primo-explore/search?tab=default_tab&amp;search_scope=EVERYTHING&amp;vid=01CRU&amp;lang=en_US&amp;offset=0&amp;query=any,contains,991002399789702656","Catalog Record")</f>
        <v/>
      </c>
      <c r="AV42">
        <f>HYPERLINK("http://www.worldcat.org/oclc/336308","WorldCat Record")</f>
        <v/>
      </c>
      <c r="AW42" t="inlineStr">
        <is>
          <t>1456207:eng</t>
        </is>
      </c>
      <c r="AX42" t="inlineStr">
        <is>
          <t>336308</t>
        </is>
      </c>
      <c r="AY42" t="inlineStr">
        <is>
          <t>991002399789702656</t>
        </is>
      </c>
      <c r="AZ42" t="inlineStr">
        <is>
          <t>991002399789702656</t>
        </is>
      </c>
      <c r="BA42" t="inlineStr">
        <is>
          <t>2255096990002656</t>
        </is>
      </c>
      <c r="BB42" t="inlineStr">
        <is>
          <t>BOOK</t>
        </is>
      </c>
      <c r="BE42" t="inlineStr">
        <is>
          <t>32285000527936</t>
        </is>
      </c>
      <c r="BF42" t="inlineStr">
        <is>
          <t>893421310</t>
        </is>
      </c>
    </row>
    <row r="43">
      <c r="A43" t="inlineStr">
        <is>
          <t>No</t>
        </is>
      </c>
      <c r="B43" t="inlineStr">
        <is>
          <t>CURAL</t>
        </is>
      </c>
      <c r="C43" t="inlineStr">
        <is>
          <t>SHELVES</t>
        </is>
      </c>
      <c r="D43" t="inlineStr">
        <is>
          <t>PQ1525 .D82</t>
        </is>
      </c>
      <c r="E43" t="inlineStr">
        <is>
          <t>0                      PQ 1525000D  82</t>
        </is>
      </c>
      <c r="F43" t="inlineStr">
        <is>
          <t>The Song of Roland : formulaic style and poetic craft / [by] Joseph J. Duggan.</t>
        </is>
      </c>
      <c r="H43" t="inlineStr">
        <is>
          <t>No</t>
        </is>
      </c>
      <c r="I43" t="inlineStr">
        <is>
          <t>1</t>
        </is>
      </c>
      <c r="J43" t="inlineStr">
        <is>
          <t>No</t>
        </is>
      </c>
      <c r="K43" t="inlineStr">
        <is>
          <t>No</t>
        </is>
      </c>
      <c r="L43" t="inlineStr">
        <is>
          <t>0</t>
        </is>
      </c>
      <c r="M43" t="inlineStr">
        <is>
          <t>Duggan, Joseph J.</t>
        </is>
      </c>
      <c r="N43" t="inlineStr">
        <is>
          <t>Berkeley : University of California Press, 1973.</t>
        </is>
      </c>
      <c r="O43" t="inlineStr">
        <is>
          <t>1973</t>
        </is>
      </c>
      <c r="Q43" t="inlineStr">
        <is>
          <t>eng</t>
        </is>
      </c>
      <c r="R43" t="inlineStr">
        <is>
          <t>cau</t>
        </is>
      </c>
      <c r="S43" t="inlineStr">
        <is>
          <t>Publications of the Center for Medieval and Renaissance Studies, UCLA, 6</t>
        </is>
      </c>
      <c r="T43" t="inlineStr">
        <is>
          <t xml:space="preserve">PQ </t>
        </is>
      </c>
      <c r="U43" t="n">
        <v>3</v>
      </c>
      <c r="V43" t="n">
        <v>3</v>
      </c>
      <c r="W43" t="inlineStr">
        <is>
          <t>1998-11-02</t>
        </is>
      </c>
      <c r="X43" t="inlineStr">
        <is>
          <t>1998-11-02</t>
        </is>
      </c>
      <c r="Y43" t="inlineStr">
        <is>
          <t>1991-10-29</t>
        </is>
      </c>
      <c r="Z43" t="inlineStr">
        <is>
          <t>1991-10-29</t>
        </is>
      </c>
      <c r="AA43" t="n">
        <v>644</v>
      </c>
      <c r="AB43" t="n">
        <v>522</v>
      </c>
      <c r="AC43" t="n">
        <v>522</v>
      </c>
      <c r="AD43" t="n">
        <v>4</v>
      </c>
      <c r="AE43" t="n">
        <v>4</v>
      </c>
      <c r="AF43" t="n">
        <v>23</v>
      </c>
      <c r="AG43" t="n">
        <v>23</v>
      </c>
      <c r="AH43" t="n">
        <v>7</v>
      </c>
      <c r="AI43" t="n">
        <v>7</v>
      </c>
      <c r="AJ43" t="n">
        <v>5</v>
      </c>
      <c r="AK43" t="n">
        <v>5</v>
      </c>
      <c r="AL43" t="n">
        <v>16</v>
      </c>
      <c r="AM43" t="n">
        <v>16</v>
      </c>
      <c r="AN43" t="n">
        <v>3</v>
      </c>
      <c r="AO43" t="n">
        <v>3</v>
      </c>
      <c r="AP43" t="n">
        <v>0</v>
      </c>
      <c r="AQ43" t="n">
        <v>0</v>
      </c>
      <c r="AR43" t="inlineStr">
        <is>
          <t>No</t>
        </is>
      </c>
      <c r="AS43" t="inlineStr">
        <is>
          <t>No</t>
        </is>
      </c>
      <c r="AU43">
        <f>HYPERLINK("https://creighton-primo.hosted.exlibrisgroup.com/primo-explore/search?tab=default_tab&amp;search_scope=EVERYTHING&amp;vid=01CRU&amp;lang=en_US&amp;offset=0&amp;query=any,contains,991003076679702656","Catalog Record")</f>
        <v/>
      </c>
      <c r="AV43">
        <f>HYPERLINK("http://www.worldcat.org/oclc/629242","WorldCat Record")</f>
        <v/>
      </c>
      <c r="AW43" t="inlineStr">
        <is>
          <t>1418976424:eng</t>
        </is>
      </c>
      <c r="AX43" t="inlineStr">
        <is>
          <t>629242</t>
        </is>
      </c>
      <c r="AY43" t="inlineStr">
        <is>
          <t>991003076679702656</t>
        </is>
      </c>
      <c r="AZ43" t="inlineStr">
        <is>
          <t>991003076679702656</t>
        </is>
      </c>
      <c r="BA43" t="inlineStr">
        <is>
          <t>2268937550002656</t>
        </is>
      </c>
      <c r="BB43" t="inlineStr">
        <is>
          <t>BOOK</t>
        </is>
      </c>
      <c r="BD43" t="inlineStr">
        <is>
          <t>9780520022010</t>
        </is>
      </c>
      <c r="BE43" t="inlineStr">
        <is>
          <t>32285000527944</t>
        </is>
      </c>
      <c r="BF43" t="inlineStr">
        <is>
          <t>893623127</t>
        </is>
      </c>
    </row>
    <row r="44">
      <c r="A44" t="inlineStr">
        <is>
          <t>No</t>
        </is>
      </c>
      <c r="B44" t="inlineStr">
        <is>
          <t>CURAL</t>
        </is>
      </c>
      <c r="C44" t="inlineStr">
        <is>
          <t>SHELVES</t>
        </is>
      </c>
      <c r="D44" t="inlineStr">
        <is>
          <t>PQ155.B63 G75 2000</t>
        </is>
      </c>
      <c r="E44" t="inlineStr">
        <is>
          <t>0                      PQ 0155000B  63                 G  75          2000</t>
        </is>
      </c>
      <c r="F44" t="inlineStr">
        <is>
          <t>The gab as a latent genre in medieval French literature : drinking and boasting in the Middle Ages / John L. Grigsby.</t>
        </is>
      </c>
      <c r="H44" t="inlineStr">
        <is>
          <t>No</t>
        </is>
      </c>
      <c r="I44" t="inlineStr">
        <is>
          <t>1</t>
        </is>
      </c>
      <c r="J44" t="inlineStr">
        <is>
          <t>No</t>
        </is>
      </c>
      <c r="K44" t="inlineStr">
        <is>
          <t>No</t>
        </is>
      </c>
      <c r="L44" t="inlineStr">
        <is>
          <t>0</t>
        </is>
      </c>
      <c r="M44" t="inlineStr">
        <is>
          <t>Grigsby, John L.</t>
        </is>
      </c>
      <c r="N44" t="inlineStr">
        <is>
          <t>Cambridge, Mass. : Medieval Academy of America, 2000.</t>
        </is>
      </c>
      <c r="O44" t="inlineStr">
        <is>
          <t>2000</t>
        </is>
      </c>
      <c r="Q44" t="inlineStr">
        <is>
          <t>eng</t>
        </is>
      </c>
      <c r="R44" t="inlineStr">
        <is>
          <t>mau</t>
        </is>
      </c>
      <c r="S44" t="inlineStr">
        <is>
          <t>Medieval Academy books ; no. 103</t>
        </is>
      </c>
      <c r="T44" t="inlineStr">
        <is>
          <t xml:space="preserve">PQ </t>
        </is>
      </c>
      <c r="U44" t="n">
        <v>1</v>
      </c>
      <c r="V44" t="n">
        <v>1</v>
      </c>
      <c r="W44" t="inlineStr">
        <is>
          <t>2003-11-20</t>
        </is>
      </c>
      <c r="X44" t="inlineStr">
        <is>
          <t>2003-11-20</t>
        </is>
      </c>
      <c r="Y44" t="inlineStr">
        <is>
          <t>2003-11-20</t>
        </is>
      </c>
      <c r="Z44" t="inlineStr">
        <is>
          <t>2003-11-20</t>
        </is>
      </c>
      <c r="AA44" t="n">
        <v>115</v>
      </c>
      <c r="AB44" t="n">
        <v>85</v>
      </c>
      <c r="AC44" t="n">
        <v>260</v>
      </c>
      <c r="AD44" t="n">
        <v>2</v>
      </c>
      <c r="AE44" t="n">
        <v>3</v>
      </c>
      <c r="AF44" t="n">
        <v>6</v>
      </c>
      <c r="AG44" t="n">
        <v>17</v>
      </c>
      <c r="AH44" t="n">
        <v>0</v>
      </c>
      <c r="AI44" t="n">
        <v>5</v>
      </c>
      <c r="AJ44" t="n">
        <v>3</v>
      </c>
      <c r="AK44" t="n">
        <v>8</v>
      </c>
      <c r="AL44" t="n">
        <v>4</v>
      </c>
      <c r="AM44" t="n">
        <v>7</v>
      </c>
      <c r="AN44" t="n">
        <v>1</v>
      </c>
      <c r="AO44" t="n">
        <v>2</v>
      </c>
      <c r="AP44" t="n">
        <v>0</v>
      </c>
      <c r="AQ44" t="n">
        <v>0</v>
      </c>
      <c r="AR44" t="inlineStr">
        <is>
          <t>No</t>
        </is>
      </c>
      <c r="AS44" t="inlineStr">
        <is>
          <t>No</t>
        </is>
      </c>
      <c r="AU44">
        <f>HYPERLINK("https://creighton-primo.hosted.exlibrisgroup.com/primo-explore/search?tab=default_tab&amp;search_scope=EVERYTHING&amp;vid=01CRU&amp;lang=en_US&amp;offset=0&amp;query=any,contains,991004152339702656","Catalog Record")</f>
        <v/>
      </c>
      <c r="AV44">
        <f>HYPERLINK("http://www.worldcat.org/oclc/45903655","WorldCat Record")</f>
        <v/>
      </c>
      <c r="AW44" t="inlineStr">
        <is>
          <t>367335784:eng</t>
        </is>
      </c>
      <c r="AX44" t="inlineStr">
        <is>
          <t>45903655</t>
        </is>
      </c>
      <c r="AY44" t="inlineStr">
        <is>
          <t>991004152339702656</t>
        </is>
      </c>
      <c r="AZ44" t="inlineStr">
        <is>
          <t>991004152339702656</t>
        </is>
      </c>
      <c r="BA44" t="inlineStr">
        <is>
          <t>2262942980002656</t>
        </is>
      </c>
      <c r="BB44" t="inlineStr">
        <is>
          <t>BOOK</t>
        </is>
      </c>
      <c r="BD44" t="inlineStr">
        <is>
          <t>9780915651115</t>
        </is>
      </c>
      <c r="BE44" t="inlineStr">
        <is>
          <t>32285004840574</t>
        </is>
      </c>
      <c r="BF44" t="inlineStr">
        <is>
          <t>893593328</t>
        </is>
      </c>
    </row>
    <row r="45">
      <c r="A45" t="inlineStr">
        <is>
          <t>No</t>
        </is>
      </c>
      <c r="B45" t="inlineStr">
        <is>
          <t>CURAL</t>
        </is>
      </c>
      <c r="C45" t="inlineStr">
        <is>
          <t>SHELVES</t>
        </is>
      </c>
      <c r="D45" t="inlineStr">
        <is>
          <t>PQ155.L7 L3 1964</t>
        </is>
      </c>
      <c r="E45" t="inlineStr">
        <is>
          <t>0                      PQ 0155000L  7                  L  3           1964</t>
        </is>
      </c>
      <c r="F45" t="inlineStr">
        <is>
          <t>Amour courtois et "fin'amors" dans la littérature du XIIe siècle.</t>
        </is>
      </c>
      <c r="H45" t="inlineStr">
        <is>
          <t>No</t>
        </is>
      </c>
      <c r="I45" t="inlineStr">
        <is>
          <t>1</t>
        </is>
      </c>
      <c r="J45" t="inlineStr">
        <is>
          <t>No</t>
        </is>
      </c>
      <c r="K45" t="inlineStr">
        <is>
          <t>No</t>
        </is>
      </c>
      <c r="L45" t="inlineStr">
        <is>
          <t>0</t>
        </is>
      </c>
      <c r="M45" t="inlineStr">
        <is>
          <t>Lazar, Moshe, 1928-2012.</t>
        </is>
      </c>
      <c r="N45" t="inlineStr">
        <is>
          <t>Paris, Librairie C. Klincksieck [1964]</t>
        </is>
      </c>
      <c r="O45" t="inlineStr">
        <is>
          <t>1964</t>
        </is>
      </c>
      <c r="Q45" t="inlineStr">
        <is>
          <t>fre</t>
        </is>
      </c>
      <c r="R45" t="inlineStr">
        <is>
          <t xml:space="preserve">fr </t>
        </is>
      </c>
      <c r="S45" t="inlineStr">
        <is>
          <t>Bibliothèque française et romane. Série C, Etudes littéraires ; 8</t>
        </is>
      </c>
      <c r="T45" t="inlineStr">
        <is>
          <t xml:space="preserve">PQ </t>
        </is>
      </c>
      <c r="U45" t="n">
        <v>13</v>
      </c>
      <c r="V45" t="n">
        <v>13</v>
      </c>
      <c r="W45" t="inlineStr">
        <is>
          <t>2006-09-20</t>
        </is>
      </c>
      <c r="X45" t="inlineStr">
        <is>
          <t>2006-09-20</t>
        </is>
      </c>
      <c r="Y45" t="inlineStr">
        <is>
          <t>1997-04-29</t>
        </is>
      </c>
      <c r="Z45" t="inlineStr">
        <is>
          <t>1997-04-29</t>
        </is>
      </c>
      <c r="AA45" t="n">
        <v>311</v>
      </c>
      <c r="AB45" t="n">
        <v>204</v>
      </c>
      <c r="AC45" t="n">
        <v>215</v>
      </c>
      <c r="AD45" t="n">
        <v>2</v>
      </c>
      <c r="AE45" t="n">
        <v>2</v>
      </c>
      <c r="AF45" t="n">
        <v>12</v>
      </c>
      <c r="AG45" t="n">
        <v>12</v>
      </c>
      <c r="AH45" t="n">
        <v>1</v>
      </c>
      <c r="AI45" t="n">
        <v>1</v>
      </c>
      <c r="AJ45" t="n">
        <v>3</v>
      </c>
      <c r="AK45" t="n">
        <v>3</v>
      </c>
      <c r="AL45" t="n">
        <v>9</v>
      </c>
      <c r="AM45" t="n">
        <v>9</v>
      </c>
      <c r="AN45" t="n">
        <v>1</v>
      </c>
      <c r="AO45" t="n">
        <v>1</v>
      </c>
      <c r="AP45" t="n">
        <v>0</v>
      </c>
      <c r="AQ45" t="n">
        <v>0</v>
      </c>
      <c r="AR45" t="inlineStr">
        <is>
          <t>No</t>
        </is>
      </c>
      <c r="AS45" t="inlineStr">
        <is>
          <t>Yes</t>
        </is>
      </c>
      <c r="AT45">
        <f>HYPERLINK("http://catalog.hathitrust.org/Record/001646476","HathiTrust Record")</f>
        <v/>
      </c>
      <c r="AU45">
        <f>HYPERLINK("https://creighton-primo.hosted.exlibrisgroup.com/primo-explore/search?tab=default_tab&amp;search_scope=EVERYTHING&amp;vid=01CRU&amp;lang=en_US&amp;offset=0&amp;query=any,contains,991002421129702656","Catalog Record")</f>
        <v/>
      </c>
      <c r="AV45">
        <f>HYPERLINK("http://www.worldcat.org/oclc/342825","WorldCat Record")</f>
        <v/>
      </c>
      <c r="AW45" t="inlineStr">
        <is>
          <t>1483575:fre</t>
        </is>
      </c>
      <c r="AX45" t="inlineStr">
        <is>
          <t>342825</t>
        </is>
      </c>
      <c r="AY45" t="inlineStr">
        <is>
          <t>991002421129702656</t>
        </is>
      </c>
      <c r="AZ45" t="inlineStr">
        <is>
          <t>991002421129702656</t>
        </is>
      </c>
      <c r="BA45" t="inlineStr">
        <is>
          <t>2266247860002656</t>
        </is>
      </c>
      <c r="BB45" t="inlineStr">
        <is>
          <t>BOOK</t>
        </is>
      </c>
      <c r="BE45" t="inlineStr">
        <is>
          <t>32285002588894</t>
        </is>
      </c>
      <c r="BF45" t="inlineStr">
        <is>
          <t>893427577</t>
        </is>
      </c>
    </row>
    <row r="46">
      <c r="A46" t="inlineStr">
        <is>
          <t>No</t>
        </is>
      </c>
      <c r="B46" t="inlineStr">
        <is>
          <t>CURAL</t>
        </is>
      </c>
      <c r="C46" t="inlineStr">
        <is>
          <t>SHELVES</t>
        </is>
      </c>
      <c r="D46" t="inlineStr">
        <is>
          <t>PQ155.M27 L413 1988</t>
        </is>
      </c>
      <c r="E46" t="inlineStr">
        <is>
          <t>0                      PQ 0155000M  27                 L  413         1988</t>
        </is>
      </c>
      <c r="F46" t="inlineStr">
        <is>
          <t>The medieval imagination / Jacques Le Goff ; translated by Arthur Goldhammer.</t>
        </is>
      </c>
      <c r="H46" t="inlineStr">
        <is>
          <t>No</t>
        </is>
      </c>
      <c r="I46" t="inlineStr">
        <is>
          <t>1</t>
        </is>
      </c>
      <c r="J46" t="inlineStr">
        <is>
          <t>No</t>
        </is>
      </c>
      <c r="K46" t="inlineStr">
        <is>
          <t>No</t>
        </is>
      </c>
      <c r="L46" t="inlineStr">
        <is>
          <t>0</t>
        </is>
      </c>
      <c r="M46" t="inlineStr">
        <is>
          <t>Le Goff, Jacques, 1924-2014.</t>
        </is>
      </c>
      <c r="N46" t="inlineStr">
        <is>
          <t>Chicago : University of Chicago Press, 1988.</t>
        </is>
      </c>
      <c r="O46" t="inlineStr">
        <is>
          <t>1988</t>
        </is>
      </c>
      <c r="Q46" t="inlineStr">
        <is>
          <t>eng</t>
        </is>
      </c>
      <c r="R46" t="inlineStr">
        <is>
          <t>ilu</t>
        </is>
      </c>
      <c r="T46" t="inlineStr">
        <is>
          <t xml:space="preserve">PQ </t>
        </is>
      </c>
      <c r="U46" t="n">
        <v>6</v>
      </c>
      <c r="V46" t="n">
        <v>6</v>
      </c>
      <c r="W46" t="inlineStr">
        <is>
          <t>2010-10-22</t>
        </is>
      </c>
      <c r="X46" t="inlineStr">
        <is>
          <t>2010-10-22</t>
        </is>
      </c>
      <c r="Y46" t="inlineStr">
        <is>
          <t>1992-07-28</t>
        </is>
      </c>
      <c r="Z46" t="inlineStr">
        <is>
          <t>1992-07-28</t>
        </is>
      </c>
      <c r="AA46" t="n">
        <v>881</v>
      </c>
      <c r="AB46" t="n">
        <v>713</v>
      </c>
      <c r="AC46" t="n">
        <v>788</v>
      </c>
      <c r="AD46" t="n">
        <v>6</v>
      </c>
      <c r="AE46" t="n">
        <v>7</v>
      </c>
      <c r="AF46" t="n">
        <v>37</v>
      </c>
      <c r="AG46" t="n">
        <v>41</v>
      </c>
      <c r="AH46" t="n">
        <v>18</v>
      </c>
      <c r="AI46" t="n">
        <v>19</v>
      </c>
      <c r="AJ46" t="n">
        <v>7</v>
      </c>
      <c r="AK46" t="n">
        <v>8</v>
      </c>
      <c r="AL46" t="n">
        <v>16</v>
      </c>
      <c r="AM46" t="n">
        <v>17</v>
      </c>
      <c r="AN46" t="n">
        <v>5</v>
      </c>
      <c r="AO46" t="n">
        <v>6</v>
      </c>
      <c r="AP46" t="n">
        <v>0</v>
      </c>
      <c r="AQ46" t="n">
        <v>0</v>
      </c>
      <c r="AR46" t="inlineStr">
        <is>
          <t>No</t>
        </is>
      </c>
      <c r="AS46" t="inlineStr">
        <is>
          <t>No</t>
        </is>
      </c>
      <c r="AU46">
        <f>HYPERLINK("https://creighton-primo.hosted.exlibrisgroup.com/primo-explore/search?tab=default_tab&amp;search_scope=EVERYTHING&amp;vid=01CRU&amp;lang=en_US&amp;offset=0&amp;query=any,contains,991001242559702656","Catalog Record")</f>
        <v/>
      </c>
      <c r="AV46">
        <f>HYPERLINK("http://www.worldcat.org/oclc/17621497","WorldCat Record")</f>
        <v/>
      </c>
      <c r="AW46" t="inlineStr">
        <is>
          <t>2908536324:eng</t>
        </is>
      </c>
      <c r="AX46" t="inlineStr">
        <is>
          <t>17621497</t>
        </is>
      </c>
      <c r="AY46" t="inlineStr">
        <is>
          <t>991001242559702656</t>
        </is>
      </c>
      <c r="AZ46" t="inlineStr">
        <is>
          <t>991001242559702656</t>
        </is>
      </c>
      <c r="BA46" t="inlineStr">
        <is>
          <t>2261045240002656</t>
        </is>
      </c>
      <c r="BB46" t="inlineStr">
        <is>
          <t>BOOK</t>
        </is>
      </c>
      <c r="BD46" t="inlineStr">
        <is>
          <t>9780226470849</t>
        </is>
      </c>
      <c r="BE46" t="inlineStr">
        <is>
          <t>32285001195444</t>
        </is>
      </c>
      <c r="BF46" t="inlineStr">
        <is>
          <t>893243977</t>
        </is>
      </c>
    </row>
    <row r="47">
      <c r="A47" t="inlineStr">
        <is>
          <t>No</t>
        </is>
      </c>
      <c r="B47" t="inlineStr">
        <is>
          <t>CURAL</t>
        </is>
      </c>
      <c r="C47" t="inlineStr">
        <is>
          <t>SHELVES</t>
        </is>
      </c>
      <c r="D47" t="inlineStr">
        <is>
          <t>PQ155.M3 A5</t>
        </is>
      </c>
      <c r="E47" t="inlineStr">
        <is>
          <t>0                      PQ 0155000M  3                  A  5</t>
        </is>
      </c>
      <c r="F47" t="inlineStr">
        <is>
          <t>Le culte de la Sainte Vierge et la littérature française profane du moyen âge. [par] dr. H. P. J. M. Ahsmann.</t>
        </is>
      </c>
      <c r="H47" t="inlineStr">
        <is>
          <t>No</t>
        </is>
      </c>
      <c r="I47" t="inlineStr">
        <is>
          <t>1</t>
        </is>
      </c>
      <c r="J47" t="inlineStr">
        <is>
          <t>No</t>
        </is>
      </c>
      <c r="K47" t="inlineStr">
        <is>
          <t>No</t>
        </is>
      </c>
      <c r="L47" t="inlineStr">
        <is>
          <t>0</t>
        </is>
      </c>
      <c r="M47" t="inlineStr">
        <is>
          <t>Ahsmann, Hubertus Petrus Johannes Maria.</t>
        </is>
      </c>
      <c r="N47" t="inlineStr">
        <is>
          <t>Utrecht-Nimègue, N. V. Dekker &amp; Van de Vegt en J. W. Van Leeuwen; Paris, A. Picard [1930]</t>
        </is>
      </c>
      <c r="O47" t="inlineStr">
        <is>
          <t>1930</t>
        </is>
      </c>
      <c r="Q47" t="inlineStr">
        <is>
          <t>fre</t>
        </is>
      </c>
      <c r="R47" t="inlineStr">
        <is>
          <t xml:space="preserve">xx </t>
        </is>
      </c>
      <c r="T47" t="inlineStr">
        <is>
          <t xml:space="preserve">PQ </t>
        </is>
      </c>
      <c r="U47" t="n">
        <v>1</v>
      </c>
      <c r="V47" t="n">
        <v>1</v>
      </c>
      <c r="W47" t="inlineStr">
        <is>
          <t>2000-10-02</t>
        </is>
      </c>
      <c r="X47" t="inlineStr">
        <is>
          <t>2000-10-02</t>
        </is>
      </c>
      <c r="Y47" t="inlineStr">
        <is>
          <t>1997-04-29</t>
        </is>
      </c>
      <c r="Z47" t="inlineStr">
        <is>
          <t>1997-04-29</t>
        </is>
      </c>
      <c r="AA47" t="n">
        <v>71</v>
      </c>
      <c r="AB47" t="n">
        <v>54</v>
      </c>
      <c r="AC47" t="n">
        <v>56</v>
      </c>
      <c r="AD47" t="n">
        <v>1</v>
      </c>
      <c r="AE47" t="n">
        <v>1</v>
      </c>
      <c r="AF47" t="n">
        <v>4</v>
      </c>
      <c r="AG47" t="n">
        <v>4</v>
      </c>
      <c r="AH47" t="n">
        <v>0</v>
      </c>
      <c r="AI47" t="n">
        <v>0</v>
      </c>
      <c r="AJ47" t="n">
        <v>2</v>
      </c>
      <c r="AK47" t="n">
        <v>2</v>
      </c>
      <c r="AL47" t="n">
        <v>3</v>
      </c>
      <c r="AM47" t="n">
        <v>3</v>
      </c>
      <c r="AN47" t="n">
        <v>0</v>
      </c>
      <c r="AO47" t="n">
        <v>0</v>
      </c>
      <c r="AP47" t="n">
        <v>0</v>
      </c>
      <c r="AQ47" t="n">
        <v>0</v>
      </c>
      <c r="AR47" t="inlineStr">
        <is>
          <t>No</t>
        </is>
      </c>
      <c r="AS47" t="inlineStr">
        <is>
          <t>No</t>
        </is>
      </c>
      <c r="AU47">
        <f>HYPERLINK("https://creighton-primo.hosted.exlibrisgroup.com/primo-explore/search?tab=default_tab&amp;search_scope=EVERYTHING&amp;vid=01CRU&amp;lang=en_US&amp;offset=0&amp;query=any,contains,991003489409702656","Catalog Record")</f>
        <v/>
      </c>
      <c r="AV47">
        <f>HYPERLINK("http://www.worldcat.org/oclc/1038238","WorldCat Record")</f>
        <v/>
      </c>
      <c r="AW47" t="inlineStr">
        <is>
          <t>352014439:fre</t>
        </is>
      </c>
      <c r="AX47" t="inlineStr">
        <is>
          <t>1038238</t>
        </is>
      </c>
      <c r="AY47" t="inlineStr">
        <is>
          <t>991003489409702656</t>
        </is>
      </c>
      <c r="AZ47" t="inlineStr">
        <is>
          <t>991003489409702656</t>
        </is>
      </c>
      <c r="BA47" t="inlineStr">
        <is>
          <t>2266353790002656</t>
        </is>
      </c>
      <c r="BB47" t="inlineStr">
        <is>
          <t>BOOK</t>
        </is>
      </c>
      <c r="BE47" t="inlineStr">
        <is>
          <t>32285003608907</t>
        </is>
      </c>
      <c r="BF47" t="inlineStr">
        <is>
          <t>893348727</t>
        </is>
      </c>
    </row>
    <row r="48">
      <c r="A48" t="inlineStr">
        <is>
          <t>No</t>
        </is>
      </c>
      <c r="B48" t="inlineStr">
        <is>
          <t>CURAL</t>
        </is>
      </c>
      <c r="C48" t="inlineStr">
        <is>
          <t>SHELVES</t>
        </is>
      </c>
      <c r="D48" t="inlineStr">
        <is>
          <t>PQ1593 .B83 2000</t>
        </is>
      </c>
      <c r="E48" t="inlineStr">
        <is>
          <t>0                      PQ 1593000B  83          2000</t>
        </is>
      </c>
      <c r="F48" t="inlineStr">
        <is>
          <t>Danse macabre : Fran*cois Villon, poetry, &amp; murder in Medieval France / Aubrey Burl.</t>
        </is>
      </c>
      <c r="H48" t="inlineStr">
        <is>
          <t>No</t>
        </is>
      </c>
      <c r="I48" t="inlineStr">
        <is>
          <t>1</t>
        </is>
      </c>
      <c r="J48" t="inlineStr">
        <is>
          <t>No</t>
        </is>
      </c>
      <c r="K48" t="inlineStr">
        <is>
          <t>No</t>
        </is>
      </c>
      <c r="L48" t="inlineStr">
        <is>
          <t>0</t>
        </is>
      </c>
      <c r="M48" t="inlineStr">
        <is>
          <t>Burl, Aubrey.</t>
        </is>
      </c>
      <c r="N48" t="inlineStr">
        <is>
          <t>Stroud, Gloucestershire : Sutton Pub., 2000.</t>
        </is>
      </c>
      <c r="O48" t="inlineStr">
        <is>
          <t>2000</t>
        </is>
      </c>
      <c r="Q48" t="inlineStr">
        <is>
          <t>eng</t>
        </is>
      </c>
      <c r="R48" t="inlineStr">
        <is>
          <t>enk</t>
        </is>
      </c>
      <c r="T48" t="inlineStr">
        <is>
          <t xml:space="preserve">PQ </t>
        </is>
      </c>
      <c r="U48" t="n">
        <v>1</v>
      </c>
      <c r="V48" t="n">
        <v>1</v>
      </c>
      <c r="W48" t="inlineStr">
        <is>
          <t>2002-05-06</t>
        </is>
      </c>
      <c r="X48" t="inlineStr">
        <is>
          <t>2002-05-06</t>
        </is>
      </c>
      <c r="Y48" t="inlineStr">
        <is>
          <t>2002-04-25</t>
        </is>
      </c>
      <c r="Z48" t="inlineStr">
        <is>
          <t>2002-04-25</t>
        </is>
      </c>
      <c r="AA48" t="n">
        <v>327</v>
      </c>
      <c r="AB48" t="n">
        <v>290</v>
      </c>
      <c r="AC48" t="n">
        <v>314</v>
      </c>
      <c r="AD48" t="n">
        <v>3</v>
      </c>
      <c r="AE48" t="n">
        <v>3</v>
      </c>
      <c r="AF48" t="n">
        <v>15</v>
      </c>
      <c r="AG48" t="n">
        <v>16</v>
      </c>
      <c r="AH48" t="n">
        <v>4</v>
      </c>
      <c r="AI48" t="n">
        <v>4</v>
      </c>
      <c r="AJ48" t="n">
        <v>6</v>
      </c>
      <c r="AK48" t="n">
        <v>7</v>
      </c>
      <c r="AL48" t="n">
        <v>7</v>
      </c>
      <c r="AM48" t="n">
        <v>8</v>
      </c>
      <c r="AN48" t="n">
        <v>2</v>
      </c>
      <c r="AO48" t="n">
        <v>2</v>
      </c>
      <c r="AP48" t="n">
        <v>0</v>
      </c>
      <c r="AQ48" t="n">
        <v>0</v>
      </c>
      <c r="AR48" t="inlineStr">
        <is>
          <t>No</t>
        </is>
      </c>
      <c r="AS48" t="inlineStr">
        <is>
          <t>Yes</t>
        </is>
      </c>
      <c r="AT48">
        <f>HYPERLINK("http://catalog.hathitrust.org/Record/004097461","HathiTrust Record")</f>
        <v/>
      </c>
      <c r="AU48">
        <f>HYPERLINK("https://creighton-primo.hosted.exlibrisgroup.com/primo-explore/search?tab=default_tab&amp;search_scope=EVERYTHING&amp;vid=01CRU&amp;lang=en_US&amp;offset=0&amp;query=any,contains,991003789779702656","Catalog Record")</f>
        <v/>
      </c>
      <c r="AV48">
        <f>HYPERLINK("http://www.worldcat.org/oclc/45827835","WorldCat Record")</f>
        <v/>
      </c>
      <c r="AW48" t="inlineStr">
        <is>
          <t>35681348:eng</t>
        </is>
      </c>
      <c r="AX48" t="inlineStr">
        <is>
          <t>45827835</t>
        </is>
      </c>
      <c r="AY48" t="inlineStr">
        <is>
          <t>991003789779702656</t>
        </is>
      </c>
      <c r="AZ48" t="inlineStr">
        <is>
          <t>991003789779702656</t>
        </is>
      </c>
      <c r="BA48" t="inlineStr">
        <is>
          <t>2257230280002656</t>
        </is>
      </c>
      <c r="BB48" t="inlineStr">
        <is>
          <t>BOOK</t>
        </is>
      </c>
      <c r="BD48" t="inlineStr">
        <is>
          <t>9780750921770</t>
        </is>
      </c>
      <c r="BE48" t="inlineStr">
        <is>
          <t>32285004483482</t>
        </is>
      </c>
      <c r="BF48" t="inlineStr">
        <is>
          <t>893318412</t>
        </is>
      </c>
    </row>
    <row r="49">
      <c r="A49" t="inlineStr">
        <is>
          <t>No</t>
        </is>
      </c>
      <c r="B49" t="inlineStr">
        <is>
          <t>CURAL</t>
        </is>
      </c>
      <c r="C49" t="inlineStr">
        <is>
          <t>SHELVES</t>
        </is>
      </c>
      <c r="D49" t="inlineStr">
        <is>
          <t>PQ1625.G2 A76 1952</t>
        </is>
      </c>
      <c r="E49" t="inlineStr">
        <is>
          <t>0                      PQ 1625000G  2                  A  76          1952</t>
        </is>
      </c>
      <c r="F49" t="inlineStr">
        <is>
          <t>La Troade ; Antigone / Robert Garnier. Texte étabi et présenté par Raymond Lebègue.</t>
        </is>
      </c>
      <c r="H49" t="inlineStr">
        <is>
          <t>No</t>
        </is>
      </c>
      <c r="I49" t="inlineStr">
        <is>
          <t>1</t>
        </is>
      </c>
      <c r="J49" t="inlineStr">
        <is>
          <t>No</t>
        </is>
      </c>
      <c r="K49" t="inlineStr">
        <is>
          <t>No</t>
        </is>
      </c>
      <c r="L49" t="inlineStr">
        <is>
          <t>0</t>
        </is>
      </c>
      <c r="M49" t="inlineStr">
        <is>
          <t>Garnier, Robert, 1544-1590.</t>
        </is>
      </c>
      <c r="N49" t="inlineStr">
        <is>
          <t>Paris : Société Les Belles Lettres, 1952.</t>
        </is>
      </c>
      <c r="O49" t="inlineStr">
        <is>
          <t>1952</t>
        </is>
      </c>
      <c r="Q49" t="inlineStr">
        <is>
          <t>fre</t>
        </is>
      </c>
      <c r="R49" t="inlineStr">
        <is>
          <t xml:space="preserve">xx </t>
        </is>
      </c>
      <c r="S49" t="inlineStr">
        <is>
          <t>His Œuvres complètes</t>
        </is>
      </c>
      <c r="T49" t="inlineStr">
        <is>
          <t xml:space="preserve">PQ </t>
        </is>
      </c>
      <c r="U49" t="n">
        <v>1</v>
      </c>
      <c r="V49" t="n">
        <v>1</v>
      </c>
      <c r="W49" t="inlineStr">
        <is>
          <t>1996-07-25</t>
        </is>
      </c>
      <c r="X49" t="inlineStr">
        <is>
          <t>1996-07-25</t>
        </is>
      </c>
      <c r="Y49" t="inlineStr">
        <is>
          <t>1996-06-27</t>
        </is>
      </c>
      <c r="Z49" t="inlineStr">
        <is>
          <t>1996-06-27</t>
        </is>
      </c>
      <c r="AA49" t="n">
        <v>233</v>
      </c>
      <c r="AB49" t="n">
        <v>166</v>
      </c>
      <c r="AC49" t="n">
        <v>168</v>
      </c>
      <c r="AD49" t="n">
        <v>2</v>
      </c>
      <c r="AE49" t="n">
        <v>2</v>
      </c>
      <c r="AF49" t="n">
        <v>12</v>
      </c>
      <c r="AG49" t="n">
        <v>12</v>
      </c>
      <c r="AH49" t="n">
        <v>3</v>
      </c>
      <c r="AI49" t="n">
        <v>3</v>
      </c>
      <c r="AJ49" t="n">
        <v>2</v>
      </c>
      <c r="AK49" t="n">
        <v>2</v>
      </c>
      <c r="AL49" t="n">
        <v>7</v>
      </c>
      <c r="AM49" t="n">
        <v>7</v>
      </c>
      <c r="AN49" t="n">
        <v>1</v>
      </c>
      <c r="AO49" t="n">
        <v>1</v>
      </c>
      <c r="AP49" t="n">
        <v>0</v>
      </c>
      <c r="AQ49" t="n">
        <v>0</v>
      </c>
      <c r="AR49" t="inlineStr">
        <is>
          <t>No</t>
        </is>
      </c>
      <c r="AS49" t="inlineStr">
        <is>
          <t>Yes</t>
        </is>
      </c>
      <c r="AT49">
        <f>HYPERLINK("http://catalog.hathitrust.org/Record/001207414","HathiTrust Record")</f>
        <v/>
      </c>
      <c r="AU49">
        <f>HYPERLINK("https://creighton-primo.hosted.exlibrisgroup.com/primo-explore/search?tab=default_tab&amp;search_scope=EVERYTHING&amp;vid=01CRU&amp;lang=en_US&amp;offset=0&amp;query=any,contains,991003678449702656","Catalog Record")</f>
        <v/>
      </c>
      <c r="AV49">
        <f>HYPERLINK("http://www.worldcat.org/oclc/1301854","WorldCat Record")</f>
        <v/>
      </c>
      <c r="AW49" t="inlineStr">
        <is>
          <t>2169513:fre</t>
        </is>
      </c>
      <c r="AX49" t="inlineStr">
        <is>
          <t>1301854</t>
        </is>
      </c>
      <c r="AY49" t="inlineStr">
        <is>
          <t>991003678449702656</t>
        </is>
      </c>
      <c r="AZ49" t="inlineStr">
        <is>
          <t>991003678449702656</t>
        </is>
      </c>
      <c r="BA49" t="inlineStr">
        <is>
          <t>2266598260002656</t>
        </is>
      </c>
      <c r="BB49" t="inlineStr">
        <is>
          <t>BOOK</t>
        </is>
      </c>
      <c r="BE49" t="inlineStr">
        <is>
          <t>32285002174398</t>
        </is>
      </c>
      <c r="BF49" t="inlineStr">
        <is>
          <t>893800018</t>
        </is>
      </c>
    </row>
    <row r="50">
      <c r="A50" t="inlineStr">
        <is>
          <t>No</t>
        </is>
      </c>
      <c r="B50" t="inlineStr">
        <is>
          <t>CURAL</t>
        </is>
      </c>
      <c r="C50" t="inlineStr">
        <is>
          <t>SHELVES</t>
        </is>
      </c>
      <c r="D50" t="inlineStr">
        <is>
          <t>PQ1643 .B56 1970</t>
        </is>
      </c>
      <c r="E50" t="inlineStr">
        <is>
          <t>0                      PQ 1643000B  56          1970</t>
        </is>
      </c>
      <c r="F50" t="inlineStr">
        <is>
          <t>The fortunes of Montaigne : a history of the Essays in France, 1580-1669 / by Alan M. Boase.</t>
        </is>
      </c>
      <c r="H50" t="inlineStr">
        <is>
          <t>No</t>
        </is>
      </c>
      <c r="I50" t="inlineStr">
        <is>
          <t>1</t>
        </is>
      </c>
      <c r="J50" t="inlineStr">
        <is>
          <t>No</t>
        </is>
      </c>
      <c r="K50" t="inlineStr">
        <is>
          <t>No</t>
        </is>
      </c>
      <c r="L50" t="inlineStr">
        <is>
          <t>0</t>
        </is>
      </c>
      <c r="M50" t="inlineStr">
        <is>
          <t>Boase, Alan M. (Alan Martin), 1902-1982.</t>
        </is>
      </c>
      <c r="N50" t="inlineStr">
        <is>
          <t>New York : Octagon Books, 1970.</t>
        </is>
      </c>
      <c r="O50" t="inlineStr">
        <is>
          <t>1970</t>
        </is>
      </c>
      <c r="Q50" t="inlineStr">
        <is>
          <t>eng</t>
        </is>
      </c>
      <c r="R50" t="inlineStr">
        <is>
          <t>nyu</t>
        </is>
      </c>
      <c r="T50" t="inlineStr">
        <is>
          <t xml:space="preserve">PQ </t>
        </is>
      </c>
      <c r="U50" t="n">
        <v>2</v>
      </c>
      <c r="V50" t="n">
        <v>2</v>
      </c>
      <c r="W50" t="inlineStr">
        <is>
          <t>1997-04-23</t>
        </is>
      </c>
      <c r="X50" t="inlineStr">
        <is>
          <t>1997-04-23</t>
        </is>
      </c>
      <c r="Y50" t="inlineStr">
        <is>
          <t>1992-01-23</t>
        </is>
      </c>
      <c r="Z50" t="inlineStr">
        <is>
          <t>1992-01-23</t>
        </is>
      </c>
      <c r="AA50" t="n">
        <v>348</v>
      </c>
      <c r="AB50" t="n">
        <v>309</v>
      </c>
      <c r="AC50" t="n">
        <v>385</v>
      </c>
      <c r="AD50" t="n">
        <v>2</v>
      </c>
      <c r="AE50" t="n">
        <v>3</v>
      </c>
      <c r="AF50" t="n">
        <v>18</v>
      </c>
      <c r="AG50" t="n">
        <v>22</v>
      </c>
      <c r="AH50" t="n">
        <v>9</v>
      </c>
      <c r="AI50" t="n">
        <v>10</v>
      </c>
      <c r="AJ50" t="n">
        <v>3</v>
      </c>
      <c r="AK50" t="n">
        <v>5</v>
      </c>
      <c r="AL50" t="n">
        <v>10</v>
      </c>
      <c r="AM50" t="n">
        <v>12</v>
      </c>
      <c r="AN50" t="n">
        <v>1</v>
      </c>
      <c r="AO50" t="n">
        <v>2</v>
      </c>
      <c r="AP50" t="n">
        <v>0</v>
      </c>
      <c r="AQ50" t="n">
        <v>0</v>
      </c>
      <c r="AR50" t="inlineStr">
        <is>
          <t>No</t>
        </is>
      </c>
      <c r="AS50" t="inlineStr">
        <is>
          <t>Yes</t>
        </is>
      </c>
      <c r="AT50">
        <f>HYPERLINK("http://catalog.hathitrust.org/Record/004455391","HathiTrust Record")</f>
        <v/>
      </c>
      <c r="AU50">
        <f>HYPERLINK("https://creighton-primo.hosted.exlibrisgroup.com/primo-explore/search?tab=default_tab&amp;search_scope=EVERYTHING&amp;vid=01CRU&amp;lang=en_US&amp;offset=0&amp;query=any,contains,991000597099702656","Catalog Record")</f>
        <v/>
      </c>
      <c r="AV50">
        <f>HYPERLINK("http://www.worldcat.org/oclc/97347","WorldCat Record")</f>
        <v/>
      </c>
      <c r="AW50" t="inlineStr">
        <is>
          <t>1325065:eng</t>
        </is>
      </c>
      <c r="AX50" t="inlineStr">
        <is>
          <t>97347</t>
        </is>
      </c>
      <c r="AY50" t="inlineStr">
        <is>
          <t>991000597099702656</t>
        </is>
      </c>
      <c r="AZ50" t="inlineStr">
        <is>
          <t>991000597099702656</t>
        </is>
      </c>
      <c r="BA50" t="inlineStr">
        <is>
          <t>2269844980002656</t>
        </is>
      </c>
      <c r="BB50" t="inlineStr">
        <is>
          <t>BOOK</t>
        </is>
      </c>
      <c r="BE50" t="inlineStr">
        <is>
          <t>32285000528512</t>
        </is>
      </c>
      <c r="BF50" t="inlineStr">
        <is>
          <t>893601887</t>
        </is>
      </c>
    </row>
    <row r="51">
      <c r="A51" t="inlineStr">
        <is>
          <t>No</t>
        </is>
      </c>
      <c r="B51" t="inlineStr">
        <is>
          <t>CURAL</t>
        </is>
      </c>
      <c r="C51" t="inlineStr">
        <is>
          <t>SHELVES</t>
        </is>
      </c>
      <c r="D51" t="inlineStr">
        <is>
          <t>PQ1643 .C57 1987</t>
        </is>
      </c>
      <c r="E51" t="inlineStr">
        <is>
          <t>0                      PQ 1643000C  57          1987</t>
        </is>
      </c>
      <c r="F51" t="inlineStr">
        <is>
          <t>Montaigne's Essais / Dorothy Gabe Coleman.</t>
        </is>
      </c>
      <c r="H51" t="inlineStr">
        <is>
          <t>No</t>
        </is>
      </c>
      <c r="I51" t="inlineStr">
        <is>
          <t>1</t>
        </is>
      </c>
      <c r="J51" t="inlineStr">
        <is>
          <t>No</t>
        </is>
      </c>
      <c r="K51" t="inlineStr">
        <is>
          <t>No</t>
        </is>
      </c>
      <c r="L51" t="inlineStr">
        <is>
          <t>0</t>
        </is>
      </c>
      <c r="M51" t="inlineStr">
        <is>
          <t>Coleman, Dorothy Gabe.</t>
        </is>
      </c>
      <c r="N51" t="inlineStr">
        <is>
          <t>London ; Boston : Allen &amp; Unwin, 1987.</t>
        </is>
      </c>
      <c r="O51" t="inlineStr">
        <is>
          <t>1987</t>
        </is>
      </c>
      <c r="Q51" t="inlineStr">
        <is>
          <t>eng</t>
        </is>
      </c>
      <c r="R51" t="inlineStr">
        <is>
          <t>enk</t>
        </is>
      </c>
      <c r="S51" t="inlineStr">
        <is>
          <t>Unwin critical library</t>
        </is>
      </c>
      <c r="T51" t="inlineStr">
        <is>
          <t xml:space="preserve">PQ </t>
        </is>
      </c>
      <c r="U51" t="n">
        <v>5</v>
      </c>
      <c r="V51" t="n">
        <v>5</v>
      </c>
      <c r="W51" t="inlineStr">
        <is>
          <t>2000-11-30</t>
        </is>
      </c>
      <c r="X51" t="inlineStr">
        <is>
          <t>2000-11-30</t>
        </is>
      </c>
      <c r="Y51" t="inlineStr">
        <is>
          <t>1991-04-30</t>
        </is>
      </c>
      <c r="Z51" t="inlineStr">
        <is>
          <t>1991-04-30</t>
        </is>
      </c>
      <c r="AA51" t="n">
        <v>371</v>
      </c>
      <c r="AB51" t="n">
        <v>266</v>
      </c>
      <c r="AC51" t="n">
        <v>271</v>
      </c>
      <c r="AD51" t="n">
        <v>2</v>
      </c>
      <c r="AE51" t="n">
        <v>2</v>
      </c>
      <c r="AF51" t="n">
        <v>13</v>
      </c>
      <c r="AG51" t="n">
        <v>13</v>
      </c>
      <c r="AH51" t="n">
        <v>3</v>
      </c>
      <c r="AI51" t="n">
        <v>3</v>
      </c>
      <c r="AJ51" t="n">
        <v>4</v>
      </c>
      <c r="AK51" t="n">
        <v>4</v>
      </c>
      <c r="AL51" t="n">
        <v>7</v>
      </c>
      <c r="AM51" t="n">
        <v>7</v>
      </c>
      <c r="AN51" t="n">
        <v>1</v>
      </c>
      <c r="AO51" t="n">
        <v>1</v>
      </c>
      <c r="AP51" t="n">
        <v>0</v>
      </c>
      <c r="AQ51" t="n">
        <v>0</v>
      </c>
      <c r="AR51" t="inlineStr">
        <is>
          <t>No</t>
        </is>
      </c>
      <c r="AS51" t="inlineStr">
        <is>
          <t>No</t>
        </is>
      </c>
      <c r="AU51">
        <f>HYPERLINK("https://creighton-primo.hosted.exlibrisgroup.com/primo-explore/search?tab=default_tab&amp;search_scope=EVERYTHING&amp;vid=01CRU&amp;lang=en_US&amp;offset=0&amp;query=any,contains,991000954949702656","Catalog Record")</f>
        <v/>
      </c>
      <c r="AV51">
        <f>HYPERLINK("http://www.worldcat.org/oclc/14716224","WorldCat Record")</f>
        <v/>
      </c>
      <c r="AW51" t="inlineStr">
        <is>
          <t>8476694:eng</t>
        </is>
      </c>
      <c r="AX51" t="inlineStr">
        <is>
          <t>14716224</t>
        </is>
      </c>
      <c r="AY51" t="inlineStr">
        <is>
          <t>991000954949702656</t>
        </is>
      </c>
      <c r="AZ51" t="inlineStr">
        <is>
          <t>991000954949702656</t>
        </is>
      </c>
      <c r="BA51" t="inlineStr">
        <is>
          <t>2255651280002656</t>
        </is>
      </c>
      <c r="BB51" t="inlineStr">
        <is>
          <t>BOOK</t>
        </is>
      </c>
      <c r="BD51" t="inlineStr">
        <is>
          <t>9780048000729</t>
        </is>
      </c>
      <c r="BE51" t="inlineStr">
        <is>
          <t>32285000528520</t>
        </is>
      </c>
      <c r="BF51" t="inlineStr">
        <is>
          <t>893315387</t>
        </is>
      </c>
    </row>
    <row r="52">
      <c r="A52" t="inlineStr">
        <is>
          <t>No</t>
        </is>
      </c>
      <c r="B52" t="inlineStr">
        <is>
          <t>CURAL</t>
        </is>
      </c>
      <c r="C52" t="inlineStr">
        <is>
          <t>SHELVES</t>
        </is>
      </c>
      <c r="D52" t="inlineStr">
        <is>
          <t>PQ1643 .S2 1983</t>
        </is>
      </c>
      <c r="E52" t="inlineStr">
        <is>
          <t>0                      PQ 1643000S  2           1983</t>
        </is>
      </c>
      <c r="F52" t="inlineStr">
        <is>
          <t>A descriptive bibliography of Montaigne's Essais, 1580-1700 / R.A. Sayce and David Maskell.</t>
        </is>
      </c>
      <c r="H52" t="inlineStr">
        <is>
          <t>No</t>
        </is>
      </c>
      <c r="I52" t="inlineStr">
        <is>
          <t>1</t>
        </is>
      </c>
      <c r="J52" t="inlineStr">
        <is>
          <t>No</t>
        </is>
      </c>
      <c r="K52" t="inlineStr">
        <is>
          <t>No</t>
        </is>
      </c>
      <c r="L52" t="inlineStr">
        <is>
          <t>0</t>
        </is>
      </c>
      <c r="M52" t="inlineStr">
        <is>
          <t>Sayce, Richard Anthony.</t>
        </is>
      </c>
      <c r="N52" t="inlineStr">
        <is>
          <t>London : Bibliographical Society : Modern Humanities Research Association, 1983.</t>
        </is>
      </c>
      <c r="O52" t="inlineStr">
        <is>
          <t>1983</t>
        </is>
      </c>
      <c r="Q52" t="inlineStr">
        <is>
          <t>eng</t>
        </is>
      </c>
      <c r="R52" t="inlineStr">
        <is>
          <t>enk</t>
        </is>
      </c>
      <c r="S52" t="inlineStr">
        <is>
          <t>Bibliographical Society (Great Britain) publications : 1979</t>
        </is>
      </c>
      <c r="T52" t="inlineStr">
        <is>
          <t xml:space="preserve">PQ </t>
        </is>
      </c>
      <c r="U52" t="n">
        <v>4</v>
      </c>
      <c r="V52" t="n">
        <v>4</v>
      </c>
      <c r="W52" t="inlineStr">
        <is>
          <t>1997-04-23</t>
        </is>
      </c>
      <c r="X52" t="inlineStr">
        <is>
          <t>1997-04-23</t>
        </is>
      </c>
      <c r="Y52" t="inlineStr">
        <is>
          <t>1991-04-30</t>
        </is>
      </c>
      <c r="Z52" t="inlineStr">
        <is>
          <t>1991-04-30</t>
        </is>
      </c>
      <c r="AA52" t="n">
        <v>335</v>
      </c>
      <c r="AB52" t="n">
        <v>207</v>
      </c>
      <c r="AC52" t="n">
        <v>215</v>
      </c>
      <c r="AD52" t="n">
        <v>2</v>
      </c>
      <c r="AE52" t="n">
        <v>2</v>
      </c>
      <c r="AF52" t="n">
        <v>10</v>
      </c>
      <c r="AG52" t="n">
        <v>10</v>
      </c>
      <c r="AH52" t="n">
        <v>2</v>
      </c>
      <c r="AI52" t="n">
        <v>2</v>
      </c>
      <c r="AJ52" t="n">
        <v>2</v>
      </c>
      <c r="AK52" t="n">
        <v>2</v>
      </c>
      <c r="AL52" t="n">
        <v>7</v>
      </c>
      <c r="AM52" t="n">
        <v>7</v>
      </c>
      <c r="AN52" t="n">
        <v>1</v>
      </c>
      <c r="AO52" t="n">
        <v>1</v>
      </c>
      <c r="AP52" t="n">
        <v>0</v>
      </c>
      <c r="AQ52" t="n">
        <v>0</v>
      </c>
      <c r="AR52" t="inlineStr">
        <is>
          <t>No</t>
        </is>
      </c>
      <c r="AS52" t="inlineStr">
        <is>
          <t>Yes</t>
        </is>
      </c>
      <c r="AT52">
        <f>HYPERLINK("http://catalog.hathitrust.org/Record/000483536","HathiTrust Record")</f>
        <v/>
      </c>
      <c r="AU52">
        <f>HYPERLINK("https://creighton-primo.hosted.exlibrisgroup.com/primo-explore/search?tab=default_tab&amp;search_scope=EVERYTHING&amp;vid=01CRU&amp;lang=en_US&amp;offset=0&amp;query=any,contains,991000386399702656","Catalog Record")</f>
        <v/>
      </c>
      <c r="AV52">
        <f>HYPERLINK("http://www.worldcat.org/oclc/10515769","WorldCat Record")</f>
        <v/>
      </c>
      <c r="AW52" t="inlineStr">
        <is>
          <t>3115561:eng</t>
        </is>
      </c>
      <c r="AX52" t="inlineStr">
        <is>
          <t>10515769</t>
        </is>
      </c>
      <c r="AY52" t="inlineStr">
        <is>
          <t>991000386399702656</t>
        </is>
      </c>
      <c r="AZ52" t="inlineStr">
        <is>
          <t>991000386399702656</t>
        </is>
      </c>
      <c r="BA52" t="inlineStr">
        <is>
          <t>2255490610002656</t>
        </is>
      </c>
      <c r="BB52" t="inlineStr">
        <is>
          <t>BOOK</t>
        </is>
      </c>
      <c r="BD52" t="inlineStr">
        <is>
          <t>9780197217948</t>
        </is>
      </c>
      <c r="BE52" t="inlineStr">
        <is>
          <t>32285000528595</t>
        </is>
      </c>
      <c r="BF52" t="inlineStr">
        <is>
          <t>893871617</t>
        </is>
      </c>
    </row>
    <row r="53">
      <c r="A53" t="inlineStr">
        <is>
          <t>No</t>
        </is>
      </c>
      <c r="B53" t="inlineStr">
        <is>
          <t>CURAL</t>
        </is>
      </c>
      <c r="C53" t="inlineStr">
        <is>
          <t>SHELVES</t>
        </is>
      </c>
      <c r="D53" t="inlineStr">
        <is>
          <t>PQ1643 .S38 1991</t>
        </is>
      </c>
      <c r="E53" t="inlineStr">
        <is>
          <t>0                      PQ 1643000S  38          1991</t>
        </is>
      </c>
      <c r="F53" t="inlineStr">
        <is>
          <t>Montaigne and melancholy : the wisdom of the Essays / M.A. Screech.</t>
        </is>
      </c>
      <c r="H53" t="inlineStr">
        <is>
          <t>No</t>
        </is>
      </c>
      <c r="I53" t="inlineStr">
        <is>
          <t>1</t>
        </is>
      </c>
      <c r="J53" t="inlineStr">
        <is>
          <t>No</t>
        </is>
      </c>
      <c r="K53" t="inlineStr">
        <is>
          <t>No</t>
        </is>
      </c>
      <c r="L53" t="inlineStr">
        <is>
          <t>0</t>
        </is>
      </c>
      <c r="M53" t="inlineStr">
        <is>
          <t>Screech, M. A. (Michael Andrew)</t>
        </is>
      </c>
      <c r="N53" t="inlineStr">
        <is>
          <t>London : Penguin, 1991, c1983.</t>
        </is>
      </c>
      <c r="O53" t="inlineStr">
        <is>
          <t>1991</t>
        </is>
      </c>
      <c r="Q53" t="inlineStr">
        <is>
          <t>eng</t>
        </is>
      </c>
      <c r="R53" t="inlineStr">
        <is>
          <t>enk</t>
        </is>
      </c>
      <c r="T53" t="inlineStr">
        <is>
          <t xml:space="preserve">PQ </t>
        </is>
      </c>
      <c r="U53" t="n">
        <v>4</v>
      </c>
      <c r="V53" t="n">
        <v>4</v>
      </c>
      <c r="W53" t="inlineStr">
        <is>
          <t>2000-12-02</t>
        </is>
      </c>
      <c r="X53" t="inlineStr">
        <is>
          <t>2000-12-02</t>
        </is>
      </c>
      <c r="Y53" t="inlineStr">
        <is>
          <t>1992-12-11</t>
        </is>
      </c>
      <c r="Z53" t="inlineStr">
        <is>
          <t>1992-12-11</t>
        </is>
      </c>
      <c r="AA53" t="n">
        <v>79</v>
      </c>
      <c r="AB53" t="n">
        <v>43</v>
      </c>
      <c r="AC53" t="n">
        <v>383</v>
      </c>
      <c r="AD53" t="n">
        <v>1</v>
      </c>
      <c r="AE53" t="n">
        <v>4</v>
      </c>
      <c r="AF53" t="n">
        <v>2</v>
      </c>
      <c r="AG53" t="n">
        <v>22</v>
      </c>
      <c r="AH53" t="n">
        <v>1</v>
      </c>
      <c r="AI53" t="n">
        <v>5</v>
      </c>
      <c r="AJ53" t="n">
        <v>2</v>
      </c>
      <c r="AK53" t="n">
        <v>6</v>
      </c>
      <c r="AL53" t="n">
        <v>0</v>
      </c>
      <c r="AM53" t="n">
        <v>14</v>
      </c>
      <c r="AN53" t="n">
        <v>0</v>
      </c>
      <c r="AO53" t="n">
        <v>3</v>
      </c>
      <c r="AP53" t="n">
        <v>0</v>
      </c>
      <c r="AQ53" t="n">
        <v>0</v>
      </c>
      <c r="AR53" t="inlineStr">
        <is>
          <t>No</t>
        </is>
      </c>
      <c r="AS53" t="inlineStr">
        <is>
          <t>Yes</t>
        </is>
      </c>
      <c r="AT53">
        <f>HYPERLINK("http://catalog.hathitrust.org/Record/004532153","HathiTrust Record")</f>
        <v/>
      </c>
      <c r="AU53">
        <f>HYPERLINK("https://creighton-primo.hosted.exlibrisgroup.com/primo-explore/search?tab=default_tab&amp;search_scope=EVERYTHING&amp;vid=01CRU&amp;lang=en_US&amp;offset=0&amp;query=any,contains,991002057969702656","Catalog Record")</f>
        <v/>
      </c>
      <c r="AV53">
        <f>HYPERLINK("http://www.worldcat.org/oclc/877565265","WorldCat Record")</f>
        <v/>
      </c>
      <c r="AW53" t="inlineStr">
        <is>
          <t>836624285:eng</t>
        </is>
      </c>
      <c r="AX53" t="inlineStr">
        <is>
          <t>877565265</t>
        </is>
      </c>
      <c r="AY53" t="inlineStr">
        <is>
          <t>991002057969702656</t>
        </is>
      </c>
      <c r="AZ53" t="inlineStr">
        <is>
          <t>991002057969702656</t>
        </is>
      </c>
      <c r="BA53" t="inlineStr">
        <is>
          <t>2262231300002656</t>
        </is>
      </c>
      <c r="BB53" t="inlineStr">
        <is>
          <t>BOOK</t>
        </is>
      </c>
      <c r="BD53" t="inlineStr">
        <is>
          <t>9780140143621</t>
        </is>
      </c>
      <c r="BE53" t="inlineStr">
        <is>
          <t>32285001402345</t>
        </is>
      </c>
      <c r="BF53" t="inlineStr">
        <is>
          <t>893238592</t>
        </is>
      </c>
    </row>
    <row r="54">
      <c r="A54" t="inlineStr">
        <is>
          <t>No</t>
        </is>
      </c>
      <c r="B54" t="inlineStr">
        <is>
          <t>CURAL</t>
        </is>
      </c>
      <c r="C54" t="inlineStr">
        <is>
          <t>SHELVES</t>
        </is>
      </c>
      <c r="D54" t="inlineStr">
        <is>
          <t>PQ1694 .C53 1982</t>
        </is>
      </c>
      <c r="E54" t="inlineStr">
        <is>
          <t>0                      PQ 1694000C  53          1982</t>
        </is>
      </c>
      <c r="F54" t="inlineStr">
        <is>
          <t>The countervoyage of Rabelais and Ariosto : a comparative reading of two Renaissance mock epics / Elizabeth A. Chesney.</t>
        </is>
      </c>
      <c r="H54" t="inlineStr">
        <is>
          <t>No</t>
        </is>
      </c>
      <c r="I54" t="inlineStr">
        <is>
          <t>1</t>
        </is>
      </c>
      <c r="J54" t="inlineStr">
        <is>
          <t>No</t>
        </is>
      </c>
      <c r="K54" t="inlineStr">
        <is>
          <t>No</t>
        </is>
      </c>
      <c r="L54" t="inlineStr">
        <is>
          <t>0</t>
        </is>
      </c>
      <c r="M54" t="inlineStr">
        <is>
          <t>Chesney, Elizabeth A., 1949-</t>
        </is>
      </c>
      <c r="N54" t="inlineStr">
        <is>
          <t>Durham, N.C. : Duke University Press, 1982.</t>
        </is>
      </c>
      <c r="O54" t="inlineStr">
        <is>
          <t>1982</t>
        </is>
      </c>
      <c r="Q54" t="inlineStr">
        <is>
          <t>eng</t>
        </is>
      </c>
      <c r="R54" t="inlineStr">
        <is>
          <t>ncu</t>
        </is>
      </c>
      <c r="T54" t="inlineStr">
        <is>
          <t xml:space="preserve">PQ </t>
        </is>
      </c>
      <c r="U54" t="n">
        <v>2</v>
      </c>
      <c r="V54" t="n">
        <v>2</v>
      </c>
      <c r="W54" t="inlineStr">
        <is>
          <t>1994-11-26</t>
        </is>
      </c>
      <c r="X54" t="inlineStr">
        <is>
          <t>1994-11-26</t>
        </is>
      </c>
      <c r="Y54" t="inlineStr">
        <is>
          <t>1991-05-07</t>
        </is>
      </c>
      <c r="Z54" t="inlineStr">
        <is>
          <t>1991-05-07</t>
        </is>
      </c>
      <c r="AA54" t="n">
        <v>351</v>
      </c>
      <c r="AB54" t="n">
        <v>292</v>
      </c>
      <c r="AC54" t="n">
        <v>299</v>
      </c>
      <c r="AD54" t="n">
        <v>3</v>
      </c>
      <c r="AE54" t="n">
        <v>3</v>
      </c>
      <c r="AF54" t="n">
        <v>14</v>
      </c>
      <c r="AG54" t="n">
        <v>14</v>
      </c>
      <c r="AH54" t="n">
        <v>3</v>
      </c>
      <c r="AI54" t="n">
        <v>3</v>
      </c>
      <c r="AJ54" t="n">
        <v>2</v>
      </c>
      <c r="AK54" t="n">
        <v>2</v>
      </c>
      <c r="AL54" t="n">
        <v>11</v>
      </c>
      <c r="AM54" t="n">
        <v>11</v>
      </c>
      <c r="AN54" t="n">
        <v>2</v>
      </c>
      <c r="AO54" t="n">
        <v>2</v>
      </c>
      <c r="AP54" t="n">
        <v>0</v>
      </c>
      <c r="AQ54" t="n">
        <v>0</v>
      </c>
      <c r="AR54" t="inlineStr">
        <is>
          <t>No</t>
        </is>
      </c>
      <c r="AS54" t="inlineStr">
        <is>
          <t>Yes</t>
        </is>
      </c>
      <c r="AT54">
        <f>HYPERLINK("http://catalog.hathitrust.org/Record/000763923","HathiTrust Record")</f>
        <v/>
      </c>
      <c r="AU54">
        <f>HYPERLINK("https://creighton-primo.hosted.exlibrisgroup.com/primo-explore/search?tab=default_tab&amp;search_scope=EVERYTHING&amp;vid=01CRU&amp;lang=en_US&amp;offset=0&amp;query=any,contains,991005131649702656","Catalog Record")</f>
        <v/>
      </c>
      <c r="AV54">
        <f>HYPERLINK("http://www.worldcat.org/oclc/7573052","WorldCat Record")</f>
        <v/>
      </c>
      <c r="AW54" t="inlineStr">
        <is>
          <t>427381580:eng</t>
        </is>
      </c>
      <c r="AX54" t="inlineStr">
        <is>
          <t>7573052</t>
        </is>
      </c>
      <c r="AY54" t="inlineStr">
        <is>
          <t>991005131649702656</t>
        </is>
      </c>
      <c r="AZ54" t="inlineStr">
        <is>
          <t>991005131649702656</t>
        </is>
      </c>
      <c r="BA54" t="inlineStr">
        <is>
          <t>2271690850002656</t>
        </is>
      </c>
      <c r="BB54" t="inlineStr">
        <is>
          <t>BOOK</t>
        </is>
      </c>
      <c r="BD54" t="inlineStr">
        <is>
          <t>9780822304562</t>
        </is>
      </c>
      <c r="BE54" t="inlineStr">
        <is>
          <t>32285000601327</t>
        </is>
      </c>
      <c r="BF54" t="inlineStr">
        <is>
          <t>893344693</t>
        </is>
      </c>
    </row>
    <row r="55">
      <c r="A55" t="inlineStr">
        <is>
          <t>No</t>
        </is>
      </c>
      <c r="B55" t="inlineStr">
        <is>
          <t>CURAL</t>
        </is>
      </c>
      <c r="C55" t="inlineStr">
        <is>
          <t>SHELVES</t>
        </is>
      </c>
      <c r="D55" t="inlineStr">
        <is>
          <t>PQ1722 .W5</t>
        </is>
      </c>
      <c r="E55" t="inlineStr">
        <is>
          <t>0                      PQ 1722000W  5</t>
        </is>
      </c>
      <c r="F55" t="inlineStr">
        <is>
          <t>Nicolas Boileau.</t>
        </is>
      </c>
      <c r="H55" t="inlineStr">
        <is>
          <t>No</t>
        </is>
      </c>
      <c r="I55" t="inlineStr">
        <is>
          <t>1</t>
        </is>
      </c>
      <c r="J55" t="inlineStr">
        <is>
          <t>No</t>
        </is>
      </c>
      <c r="K55" t="inlineStr">
        <is>
          <t>No</t>
        </is>
      </c>
      <c r="L55" t="inlineStr">
        <is>
          <t>0</t>
        </is>
      </c>
      <c r="M55" t="inlineStr">
        <is>
          <t>White, Julian Eugene.</t>
        </is>
      </c>
      <c r="N55" t="inlineStr">
        <is>
          <t>New York : Twayne Publishers, [c1969]</t>
        </is>
      </c>
      <c r="O55" t="inlineStr">
        <is>
          <t>1969</t>
        </is>
      </c>
      <c r="Q55" t="inlineStr">
        <is>
          <t>eng</t>
        </is>
      </c>
      <c r="R55" t="inlineStr">
        <is>
          <t>nyu</t>
        </is>
      </c>
      <c r="S55" t="inlineStr">
        <is>
          <t>Twayne's world authors series, 91. France</t>
        </is>
      </c>
      <c r="T55" t="inlineStr">
        <is>
          <t xml:space="preserve">PQ </t>
        </is>
      </c>
      <c r="U55" t="n">
        <v>4</v>
      </c>
      <c r="V55" t="n">
        <v>4</v>
      </c>
      <c r="W55" t="inlineStr">
        <is>
          <t>1997-09-24</t>
        </is>
      </c>
      <c r="X55" t="inlineStr">
        <is>
          <t>1997-09-24</t>
        </is>
      </c>
      <c r="Y55" t="inlineStr">
        <is>
          <t>1993-05-05</t>
        </is>
      </c>
      <c r="Z55" t="inlineStr">
        <is>
          <t>1993-05-05</t>
        </is>
      </c>
      <c r="AA55" t="n">
        <v>552</v>
      </c>
      <c r="AB55" t="n">
        <v>495</v>
      </c>
      <c r="AC55" t="n">
        <v>502</v>
      </c>
      <c r="AD55" t="n">
        <v>3</v>
      </c>
      <c r="AE55" t="n">
        <v>3</v>
      </c>
      <c r="AF55" t="n">
        <v>25</v>
      </c>
      <c r="AG55" t="n">
        <v>25</v>
      </c>
      <c r="AH55" t="n">
        <v>9</v>
      </c>
      <c r="AI55" t="n">
        <v>9</v>
      </c>
      <c r="AJ55" t="n">
        <v>6</v>
      </c>
      <c r="AK55" t="n">
        <v>6</v>
      </c>
      <c r="AL55" t="n">
        <v>16</v>
      </c>
      <c r="AM55" t="n">
        <v>16</v>
      </c>
      <c r="AN55" t="n">
        <v>2</v>
      </c>
      <c r="AO55" t="n">
        <v>2</v>
      </c>
      <c r="AP55" t="n">
        <v>0</v>
      </c>
      <c r="AQ55" t="n">
        <v>0</v>
      </c>
      <c r="AR55" t="inlineStr">
        <is>
          <t>No</t>
        </is>
      </c>
      <c r="AS55" t="inlineStr">
        <is>
          <t>Yes</t>
        </is>
      </c>
      <c r="AT55">
        <f>HYPERLINK("http://catalog.hathitrust.org/Record/001014776","HathiTrust Record")</f>
        <v/>
      </c>
      <c r="AU55">
        <f>HYPERLINK("https://creighton-primo.hosted.exlibrisgroup.com/primo-explore/search?tab=default_tab&amp;search_scope=EVERYTHING&amp;vid=01CRU&amp;lang=en_US&amp;offset=0&amp;query=any,contains,991000659329702656","Catalog Record")</f>
        <v/>
      </c>
      <c r="AV55">
        <f>HYPERLINK("http://www.worldcat.org/oclc/117126","WorldCat Record")</f>
        <v/>
      </c>
      <c r="AW55" t="inlineStr">
        <is>
          <t>1235395:eng</t>
        </is>
      </c>
      <c r="AX55" t="inlineStr">
        <is>
          <t>117126</t>
        </is>
      </c>
      <c r="AY55" t="inlineStr">
        <is>
          <t>991000659329702656</t>
        </is>
      </c>
      <c r="AZ55" t="inlineStr">
        <is>
          <t>991000659329702656</t>
        </is>
      </c>
      <c r="BA55" t="inlineStr">
        <is>
          <t>2261056470002656</t>
        </is>
      </c>
      <c r="BB55" t="inlineStr">
        <is>
          <t>BOOK</t>
        </is>
      </c>
      <c r="BE55" t="inlineStr">
        <is>
          <t>32285001634251</t>
        </is>
      </c>
      <c r="BF55" t="inlineStr">
        <is>
          <t>893802975</t>
        </is>
      </c>
    </row>
    <row r="56">
      <c r="A56" t="inlineStr">
        <is>
          <t>No</t>
        </is>
      </c>
      <c r="B56" t="inlineStr">
        <is>
          <t>CURAL</t>
        </is>
      </c>
      <c r="C56" t="inlineStr">
        <is>
          <t>SHELVES</t>
        </is>
      </c>
      <c r="D56" t="inlineStr">
        <is>
          <t>PQ1723 .C6</t>
        </is>
      </c>
      <c r="E56" t="inlineStr">
        <is>
          <t>0                      PQ 1723000C  6</t>
        </is>
      </c>
      <c r="F56" t="inlineStr">
        <is>
          <t>Boileau and the French classical critics in England, 1660-1830 / by A.F.B. Clark.</t>
        </is>
      </c>
      <c r="H56" t="inlineStr">
        <is>
          <t>No</t>
        </is>
      </c>
      <c r="I56" t="inlineStr">
        <is>
          <t>1</t>
        </is>
      </c>
      <c r="J56" t="inlineStr">
        <is>
          <t>No</t>
        </is>
      </c>
      <c r="K56" t="inlineStr">
        <is>
          <t>No</t>
        </is>
      </c>
      <c r="L56" t="inlineStr">
        <is>
          <t>0</t>
        </is>
      </c>
      <c r="M56" t="inlineStr">
        <is>
          <t>Clark, A. F. B. (Alexander Frederick Bruce), 1884-</t>
        </is>
      </c>
      <c r="N56" t="inlineStr">
        <is>
          <t>New York : Russell &amp; Russell, 1965.</t>
        </is>
      </c>
      <c r="O56" t="inlineStr">
        <is>
          <t>1965</t>
        </is>
      </c>
      <c r="Q56" t="inlineStr">
        <is>
          <t>eng</t>
        </is>
      </c>
      <c r="R56" t="inlineStr">
        <is>
          <t>nyu</t>
        </is>
      </c>
      <c r="T56" t="inlineStr">
        <is>
          <t xml:space="preserve">PQ </t>
        </is>
      </c>
      <c r="U56" t="n">
        <v>4</v>
      </c>
      <c r="V56" t="n">
        <v>4</v>
      </c>
      <c r="W56" t="inlineStr">
        <is>
          <t>1997-09-24</t>
        </is>
      </c>
      <c r="X56" t="inlineStr">
        <is>
          <t>1997-09-24</t>
        </is>
      </c>
      <c r="Y56" t="inlineStr">
        <is>
          <t>1993-05-05</t>
        </is>
      </c>
      <c r="Z56" t="inlineStr">
        <is>
          <t>1993-05-05</t>
        </is>
      </c>
      <c r="AA56" t="n">
        <v>250</v>
      </c>
      <c r="AB56" t="n">
        <v>213</v>
      </c>
      <c r="AC56" t="n">
        <v>387</v>
      </c>
      <c r="AD56" t="n">
        <v>2</v>
      </c>
      <c r="AE56" t="n">
        <v>4</v>
      </c>
      <c r="AF56" t="n">
        <v>15</v>
      </c>
      <c r="AG56" t="n">
        <v>29</v>
      </c>
      <c r="AH56" t="n">
        <v>4</v>
      </c>
      <c r="AI56" t="n">
        <v>8</v>
      </c>
      <c r="AJ56" t="n">
        <v>5</v>
      </c>
      <c r="AK56" t="n">
        <v>8</v>
      </c>
      <c r="AL56" t="n">
        <v>9</v>
      </c>
      <c r="AM56" t="n">
        <v>18</v>
      </c>
      <c r="AN56" t="n">
        <v>1</v>
      </c>
      <c r="AO56" t="n">
        <v>3</v>
      </c>
      <c r="AP56" t="n">
        <v>0</v>
      </c>
      <c r="AQ56" t="n">
        <v>0</v>
      </c>
      <c r="AR56" t="inlineStr">
        <is>
          <t>No</t>
        </is>
      </c>
      <c r="AS56" t="inlineStr">
        <is>
          <t>Yes</t>
        </is>
      </c>
      <c r="AT56">
        <f>HYPERLINK("http://catalog.hathitrust.org/Record/009500650","HathiTrust Record")</f>
        <v/>
      </c>
      <c r="AU56">
        <f>HYPERLINK("https://creighton-primo.hosted.exlibrisgroup.com/primo-explore/search?tab=default_tab&amp;search_scope=EVERYTHING&amp;vid=01CRU&amp;lang=en_US&amp;offset=0&amp;query=any,contains,991002409739702656","Catalog Record")</f>
        <v/>
      </c>
      <c r="AV56">
        <f>HYPERLINK("http://www.worldcat.org/oclc/339087","WorldCat Record")</f>
        <v/>
      </c>
      <c r="AW56" t="inlineStr">
        <is>
          <t>1311894:eng</t>
        </is>
      </c>
      <c r="AX56" t="inlineStr">
        <is>
          <t>339087</t>
        </is>
      </c>
      <c r="AY56" t="inlineStr">
        <is>
          <t>991002409739702656</t>
        </is>
      </c>
      <c r="AZ56" t="inlineStr">
        <is>
          <t>991002409739702656</t>
        </is>
      </c>
      <c r="BA56" t="inlineStr">
        <is>
          <t>2259132190002656</t>
        </is>
      </c>
      <c r="BB56" t="inlineStr">
        <is>
          <t>BOOK</t>
        </is>
      </c>
      <c r="BE56" t="inlineStr">
        <is>
          <t>32285001634228</t>
        </is>
      </c>
      <c r="BF56" t="inlineStr">
        <is>
          <t>893603563</t>
        </is>
      </c>
    </row>
    <row r="57">
      <c r="A57" t="inlineStr">
        <is>
          <t>No</t>
        </is>
      </c>
      <c r="B57" t="inlineStr">
        <is>
          <t>CURAL</t>
        </is>
      </c>
      <c r="C57" t="inlineStr">
        <is>
          <t>SHELVES</t>
        </is>
      </c>
      <c r="D57" t="inlineStr">
        <is>
          <t>PQ1745.E5 C3 1975</t>
        </is>
      </c>
      <c r="E57" t="inlineStr">
        <is>
          <t>0                      PQ 1745000E  5                  C  3           1975</t>
        </is>
      </c>
      <c r="F57" t="inlineStr">
        <is>
          <t>The Cid ; Cinna : the theatrical illusion / [by] Pierre Corneille ; translated and introduced by John Cairncross.</t>
        </is>
      </c>
      <c r="H57" t="inlineStr">
        <is>
          <t>No</t>
        </is>
      </c>
      <c r="I57" t="inlineStr">
        <is>
          <t>1</t>
        </is>
      </c>
      <c r="J57" t="inlineStr">
        <is>
          <t>No</t>
        </is>
      </c>
      <c r="K57" t="inlineStr">
        <is>
          <t>No</t>
        </is>
      </c>
      <c r="L57" t="inlineStr">
        <is>
          <t>0</t>
        </is>
      </c>
      <c r="M57" t="inlineStr">
        <is>
          <t>Corneille, Pierre, 1606-1684.</t>
        </is>
      </c>
      <c r="N57" t="inlineStr">
        <is>
          <t>Harmondsworth : Penguin, 1975.</t>
        </is>
      </c>
      <c r="O57" t="inlineStr">
        <is>
          <t>1975</t>
        </is>
      </c>
      <c r="Q57" t="inlineStr">
        <is>
          <t>eng</t>
        </is>
      </c>
      <c r="R57" t="inlineStr">
        <is>
          <t>enk</t>
        </is>
      </c>
      <c r="S57" t="inlineStr">
        <is>
          <t>The Penguin classics</t>
        </is>
      </c>
      <c r="T57" t="inlineStr">
        <is>
          <t xml:space="preserve">PQ </t>
        </is>
      </c>
      <c r="U57" t="n">
        <v>3</v>
      </c>
      <c r="V57" t="n">
        <v>3</v>
      </c>
      <c r="W57" t="inlineStr">
        <is>
          <t>1998-09-30</t>
        </is>
      </c>
      <c r="X57" t="inlineStr">
        <is>
          <t>1998-09-30</t>
        </is>
      </c>
      <c r="Y57" t="inlineStr">
        <is>
          <t>1993-02-17</t>
        </is>
      </c>
      <c r="Z57" t="inlineStr">
        <is>
          <t>1993-02-17</t>
        </is>
      </c>
      <c r="AA57" t="n">
        <v>625</v>
      </c>
      <c r="AB57" t="n">
        <v>480</v>
      </c>
      <c r="AC57" t="n">
        <v>488</v>
      </c>
      <c r="AD57" t="n">
        <v>4</v>
      </c>
      <c r="AE57" t="n">
        <v>4</v>
      </c>
      <c r="AF57" t="n">
        <v>19</v>
      </c>
      <c r="AG57" t="n">
        <v>19</v>
      </c>
      <c r="AH57" t="n">
        <v>8</v>
      </c>
      <c r="AI57" t="n">
        <v>8</v>
      </c>
      <c r="AJ57" t="n">
        <v>5</v>
      </c>
      <c r="AK57" t="n">
        <v>5</v>
      </c>
      <c r="AL57" t="n">
        <v>9</v>
      </c>
      <c r="AM57" t="n">
        <v>9</v>
      </c>
      <c r="AN57" t="n">
        <v>2</v>
      </c>
      <c r="AO57" t="n">
        <v>2</v>
      </c>
      <c r="AP57" t="n">
        <v>0</v>
      </c>
      <c r="AQ57" t="n">
        <v>0</v>
      </c>
      <c r="AR57" t="inlineStr">
        <is>
          <t>No</t>
        </is>
      </c>
      <c r="AS57" t="inlineStr">
        <is>
          <t>No</t>
        </is>
      </c>
      <c r="AU57">
        <f>HYPERLINK("https://creighton-primo.hosted.exlibrisgroup.com/primo-explore/search?tab=default_tab&amp;search_scope=EVERYTHING&amp;vid=01CRU&amp;lang=en_US&amp;offset=0&amp;query=any,contains,991004002539702656","Catalog Record")</f>
        <v/>
      </c>
      <c r="AV57">
        <f>HYPERLINK("http://www.worldcat.org/oclc/2075209","WorldCat Record")</f>
        <v/>
      </c>
      <c r="AW57" t="inlineStr">
        <is>
          <t>2869470033:eng</t>
        </is>
      </c>
      <c r="AX57" t="inlineStr">
        <is>
          <t>2075209</t>
        </is>
      </c>
      <c r="AY57" t="inlineStr">
        <is>
          <t>991004002539702656</t>
        </is>
      </c>
      <c r="AZ57" t="inlineStr">
        <is>
          <t>991004002539702656</t>
        </is>
      </c>
      <c r="BA57" t="inlineStr">
        <is>
          <t>2261940450002656</t>
        </is>
      </c>
      <c r="BB57" t="inlineStr">
        <is>
          <t>BOOK</t>
        </is>
      </c>
      <c r="BD57" t="inlineStr">
        <is>
          <t>9780140443127</t>
        </is>
      </c>
      <c r="BE57" t="inlineStr">
        <is>
          <t>32285001502599</t>
        </is>
      </c>
      <c r="BF57" t="inlineStr">
        <is>
          <t>893888208</t>
        </is>
      </c>
    </row>
    <row r="58">
      <c r="A58" t="inlineStr">
        <is>
          <t>No</t>
        </is>
      </c>
      <c r="B58" t="inlineStr">
        <is>
          <t>CURAL</t>
        </is>
      </c>
      <c r="C58" t="inlineStr">
        <is>
          <t>SHELVES</t>
        </is>
      </c>
      <c r="D58" t="inlineStr">
        <is>
          <t>PQ1754 .A17 1970</t>
        </is>
      </c>
      <c r="E58" t="inlineStr">
        <is>
          <t>0                      PQ 1754000A  17          1970</t>
        </is>
      </c>
      <c r="F58" t="inlineStr">
        <is>
          <t>Horace : tragédie / Corneille ; avec une notice biographique, une notice historique et littéraire, un lexique, des notes explicatives, un questionnaire, des documents, des jugements et des sujets de devoirs, par Bernard Masson.</t>
        </is>
      </c>
      <c r="H58" t="inlineStr">
        <is>
          <t>No</t>
        </is>
      </c>
      <c r="I58" t="inlineStr">
        <is>
          <t>1</t>
        </is>
      </c>
      <c r="J58" t="inlineStr">
        <is>
          <t>No</t>
        </is>
      </c>
      <c r="K58" t="inlineStr">
        <is>
          <t>No</t>
        </is>
      </c>
      <c r="L58" t="inlineStr">
        <is>
          <t>0</t>
        </is>
      </c>
      <c r="M58" t="inlineStr">
        <is>
          <t>Corneille, Pierre, 1606-1684.</t>
        </is>
      </c>
      <c r="N58" t="inlineStr">
        <is>
          <t>Paris : Larousse, c1970.</t>
        </is>
      </c>
      <c r="O58" t="inlineStr">
        <is>
          <t>1970</t>
        </is>
      </c>
      <c r="Q58" t="inlineStr">
        <is>
          <t>fre</t>
        </is>
      </c>
      <c r="R58" t="inlineStr">
        <is>
          <t xml:space="preserve">fr </t>
        </is>
      </c>
      <c r="S58" t="inlineStr">
        <is>
          <t>Nouveaux classiques Larousse</t>
        </is>
      </c>
      <c r="T58" t="inlineStr">
        <is>
          <t xml:space="preserve">PQ </t>
        </is>
      </c>
      <c r="U58" t="n">
        <v>1</v>
      </c>
      <c r="V58" t="n">
        <v>1</v>
      </c>
      <c r="W58" t="inlineStr">
        <is>
          <t>2004-11-08</t>
        </is>
      </c>
      <c r="X58" t="inlineStr">
        <is>
          <t>2004-11-08</t>
        </is>
      </c>
      <c r="Y58" t="inlineStr">
        <is>
          <t>1991-05-07</t>
        </is>
      </c>
      <c r="Z58" t="inlineStr">
        <is>
          <t>1991-05-07</t>
        </is>
      </c>
      <c r="AA58" t="n">
        <v>80</v>
      </c>
      <c r="AB58" t="n">
        <v>60</v>
      </c>
      <c r="AC58" t="n">
        <v>239</v>
      </c>
      <c r="AD58" t="n">
        <v>1</v>
      </c>
      <c r="AE58" t="n">
        <v>3</v>
      </c>
      <c r="AF58" t="n">
        <v>4</v>
      </c>
      <c r="AG58" t="n">
        <v>11</v>
      </c>
      <c r="AH58" t="n">
        <v>2</v>
      </c>
      <c r="AI58" t="n">
        <v>5</v>
      </c>
      <c r="AJ58" t="n">
        <v>1</v>
      </c>
      <c r="AK58" t="n">
        <v>4</v>
      </c>
      <c r="AL58" t="n">
        <v>3</v>
      </c>
      <c r="AM58" t="n">
        <v>5</v>
      </c>
      <c r="AN58" t="n">
        <v>0</v>
      </c>
      <c r="AO58" t="n">
        <v>2</v>
      </c>
      <c r="AP58" t="n">
        <v>0</v>
      </c>
      <c r="AQ58" t="n">
        <v>0</v>
      </c>
      <c r="AR58" t="inlineStr">
        <is>
          <t>No</t>
        </is>
      </c>
      <c r="AS58" t="inlineStr">
        <is>
          <t>No</t>
        </is>
      </c>
      <c r="AU58">
        <f>HYPERLINK("https://creighton-primo.hosted.exlibrisgroup.com/primo-explore/search?tab=default_tab&amp;search_scope=EVERYTHING&amp;vid=01CRU&amp;lang=en_US&amp;offset=0&amp;query=any,contains,991003998219702656","Catalog Record")</f>
        <v/>
      </c>
      <c r="AV58">
        <f>HYPERLINK("http://www.worldcat.org/oclc/2067709","WorldCat Record")</f>
        <v/>
      </c>
      <c r="AW58" t="inlineStr">
        <is>
          <t>2564928377:fre</t>
        </is>
      </c>
      <c r="AX58" t="inlineStr">
        <is>
          <t>2067709</t>
        </is>
      </c>
      <c r="AY58" t="inlineStr">
        <is>
          <t>991003998219702656</t>
        </is>
      </c>
      <c r="AZ58" t="inlineStr">
        <is>
          <t>991003998219702656</t>
        </is>
      </c>
      <c r="BA58" t="inlineStr">
        <is>
          <t>2262385970002656</t>
        </is>
      </c>
      <c r="BB58" t="inlineStr">
        <is>
          <t>BOOK</t>
        </is>
      </c>
      <c r="BE58" t="inlineStr">
        <is>
          <t>32285000601442</t>
        </is>
      </c>
      <c r="BF58" t="inlineStr">
        <is>
          <t>893512668</t>
        </is>
      </c>
    </row>
    <row r="59">
      <c r="A59" t="inlineStr">
        <is>
          <t>No</t>
        </is>
      </c>
      <c r="B59" t="inlineStr">
        <is>
          <t>CURAL</t>
        </is>
      </c>
      <c r="C59" t="inlineStr">
        <is>
          <t>SHELVES</t>
        </is>
      </c>
      <c r="D59" t="inlineStr">
        <is>
          <t>PQ1772 .A54</t>
        </is>
      </c>
      <c r="E59" t="inlineStr">
        <is>
          <t>0                      PQ 1772000A  54</t>
        </is>
      </c>
      <c r="F59" t="inlineStr">
        <is>
          <t>Pierre Corneille, by Claude Abraham.</t>
        </is>
      </c>
      <c r="H59" t="inlineStr">
        <is>
          <t>No</t>
        </is>
      </c>
      <c r="I59" t="inlineStr">
        <is>
          <t>1</t>
        </is>
      </c>
      <c r="J59" t="inlineStr">
        <is>
          <t>No</t>
        </is>
      </c>
      <c r="K59" t="inlineStr">
        <is>
          <t>No</t>
        </is>
      </c>
      <c r="L59" t="inlineStr">
        <is>
          <t>0</t>
        </is>
      </c>
      <c r="M59" t="inlineStr">
        <is>
          <t>Abraham, Claude Kurt, 1931-</t>
        </is>
      </c>
      <c r="N59" t="inlineStr">
        <is>
          <t>New York, Twayne Publishers [1972]</t>
        </is>
      </c>
      <c r="O59" t="inlineStr">
        <is>
          <t>1972</t>
        </is>
      </c>
      <c r="Q59" t="inlineStr">
        <is>
          <t>eng</t>
        </is>
      </c>
      <c r="R59" t="inlineStr">
        <is>
          <t>nyu</t>
        </is>
      </c>
      <c r="S59" t="inlineStr">
        <is>
          <t>Twayne's world authors series, TWAS 214. France</t>
        </is>
      </c>
      <c r="T59" t="inlineStr">
        <is>
          <t xml:space="preserve">PQ </t>
        </is>
      </c>
      <c r="U59" t="n">
        <v>1</v>
      </c>
      <c r="V59" t="n">
        <v>1</v>
      </c>
      <c r="W59" t="inlineStr">
        <is>
          <t>1997-07-24</t>
        </is>
      </c>
      <c r="X59" t="inlineStr">
        <is>
          <t>1997-07-24</t>
        </is>
      </c>
      <c r="Y59" t="inlineStr">
        <is>
          <t>1997-05-09</t>
        </is>
      </c>
      <c r="Z59" t="inlineStr">
        <is>
          <t>1997-05-09</t>
        </is>
      </c>
      <c r="AA59" t="n">
        <v>891</v>
      </c>
      <c r="AB59" t="n">
        <v>802</v>
      </c>
      <c r="AC59" t="n">
        <v>809</v>
      </c>
      <c r="AD59" t="n">
        <v>7</v>
      </c>
      <c r="AE59" t="n">
        <v>7</v>
      </c>
      <c r="AF59" t="n">
        <v>33</v>
      </c>
      <c r="AG59" t="n">
        <v>34</v>
      </c>
      <c r="AH59" t="n">
        <v>12</v>
      </c>
      <c r="AI59" t="n">
        <v>13</v>
      </c>
      <c r="AJ59" t="n">
        <v>7</v>
      </c>
      <c r="AK59" t="n">
        <v>7</v>
      </c>
      <c r="AL59" t="n">
        <v>18</v>
      </c>
      <c r="AM59" t="n">
        <v>19</v>
      </c>
      <c r="AN59" t="n">
        <v>6</v>
      </c>
      <c r="AO59" t="n">
        <v>6</v>
      </c>
      <c r="AP59" t="n">
        <v>0</v>
      </c>
      <c r="AQ59" t="n">
        <v>0</v>
      </c>
      <c r="AR59" t="inlineStr">
        <is>
          <t>No</t>
        </is>
      </c>
      <c r="AS59" t="inlineStr">
        <is>
          <t>Yes</t>
        </is>
      </c>
      <c r="AT59">
        <f>HYPERLINK("http://catalog.hathitrust.org/Record/001205933","HathiTrust Record")</f>
        <v/>
      </c>
      <c r="AU59">
        <f>HYPERLINK("https://creighton-primo.hosted.exlibrisgroup.com/primo-explore/search?tab=default_tab&amp;search_scope=EVERYTHING&amp;vid=01CRU&amp;lang=en_US&amp;offset=0&amp;query=any,contains,991002887179702656","Catalog Record")</f>
        <v/>
      </c>
      <c r="AV59">
        <f>HYPERLINK("http://www.worldcat.org/oclc/509345","WorldCat Record")</f>
        <v/>
      </c>
      <c r="AW59" t="inlineStr">
        <is>
          <t>461403:eng</t>
        </is>
      </c>
      <c r="AX59" t="inlineStr">
        <is>
          <t>509345</t>
        </is>
      </c>
      <c r="AY59" t="inlineStr">
        <is>
          <t>991002887179702656</t>
        </is>
      </c>
      <c r="AZ59" t="inlineStr">
        <is>
          <t>991002887179702656</t>
        </is>
      </c>
      <c r="BA59" t="inlineStr">
        <is>
          <t>2261710050002656</t>
        </is>
      </c>
      <c r="BB59" t="inlineStr">
        <is>
          <t>BOOK</t>
        </is>
      </c>
      <c r="BE59" t="inlineStr">
        <is>
          <t>32285002652286</t>
        </is>
      </c>
      <c r="BF59" t="inlineStr">
        <is>
          <t>893622863</t>
        </is>
      </c>
    </row>
    <row r="60">
      <c r="A60" t="inlineStr">
        <is>
          <t>No</t>
        </is>
      </c>
      <c r="B60" t="inlineStr">
        <is>
          <t>CURAL</t>
        </is>
      </c>
      <c r="C60" t="inlineStr">
        <is>
          <t>SHELVES</t>
        </is>
      </c>
      <c r="D60" t="inlineStr">
        <is>
          <t>PQ1777 .N4</t>
        </is>
      </c>
      <c r="E60" t="inlineStr">
        <is>
          <t>0                      PQ 1777000N  4</t>
        </is>
      </c>
      <c r="F60" t="inlineStr">
        <is>
          <t>Corneille and Racine : parallels and contrasts / edited with and introduction by Robert J. Nelson.</t>
        </is>
      </c>
      <c r="H60" t="inlineStr">
        <is>
          <t>No</t>
        </is>
      </c>
      <c r="I60" t="inlineStr">
        <is>
          <t>1</t>
        </is>
      </c>
      <c r="J60" t="inlineStr">
        <is>
          <t>No</t>
        </is>
      </c>
      <c r="K60" t="inlineStr">
        <is>
          <t>No</t>
        </is>
      </c>
      <c r="L60" t="inlineStr">
        <is>
          <t>0</t>
        </is>
      </c>
      <c r="M60" t="inlineStr">
        <is>
          <t>Nelson, Robert James, 1925- editor.</t>
        </is>
      </c>
      <c r="N60" t="inlineStr">
        <is>
          <t>Englewood Cliffs, NJ : Prentice-Hall, [1966]</t>
        </is>
      </c>
      <c r="O60" t="inlineStr">
        <is>
          <t>1966</t>
        </is>
      </c>
      <c r="Q60" t="inlineStr">
        <is>
          <t>eng</t>
        </is>
      </c>
      <c r="R60" t="inlineStr">
        <is>
          <t>nju</t>
        </is>
      </c>
      <c r="S60" t="inlineStr">
        <is>
          <t>Prentice-Hall confrontations series</t>
        </is>
      </c>
      <c r="T60" t="inlineStr">
        <is>
          <t xml:space="preserve">PQ </t>
        </is>
      </c>
      <c r="U60" t="n">
        <v>3</v>
      </c>
      <c r="V60" t="n">
        <v>3</v>
      </c>
      <c r="W60" t="inlineStr">
        <is>
          <t>1993-05-03</t>
        </is>
      </c>
      <c r="X60" t="inlineStr">
        <is>
          <t>1993-05-03</t>
        </is>
      </c>
      <c r="Y60" t="inlineStr">
        <is>
          <t>1993-03-18</t>
        </is>
      </c>
      <c r="Z60" t="inlineStr">
        <is>
          <t>1993-03-18</t>
        </is>
      </c>
      <c r="AA60" t="n">
        <v>604</v>
      </c>
      <c r="AB60" t="n">
        <v>527</v>
      </c>
      <c r="AC60" t="n">
        <v>590</v>
      </c>
      <c r="AD60" t="n">
        <v>3</v>
      </c>
      <c r="AE60" t="n">
        <v>4</v>
      </c>
      <c r="AF60" t="n">
        <v>23</v>
      </c>
      <c r="AG60" t="n">
        <v>26</v>
      </c>
      <c r="AH60" t="n">
        <v>10</v>
      </c>
      <c r="AI60" t="n">
        <v>11</v>
      </c>
      <c r="AJ60" t="n">
        <v>8</v>
      </c>
      <c r="AK60" t="n">
        <v>8</v>
      </c>
      <c r="AL60" t="n">
        <v>10</v>
      </c>
      <c r="AM60" t="n">
        <v>11</v>
      </c>
      <c r="AN60" t="n">
        <v>2</v>
      </c>
      <c r="AO60" t="n">
        <v>3</v>
      </c>
      <c r="AP60" t="n">
        <v>0</v>
      </c>
      <c r="AQ60" t="n">
        <v>0</v>
      </c>
      <c r="AR60" t="inlineStr">
        <is>
          <t>No</t>
        </is>
      </c>
      <c r="AS60" t="inlineStr">
        <is>
          <t>Yes</t>
        </is>
      </c>
      <c r="AT60">
        <f>HYPERLINK("http://catalog.hathitrust.org/Record/001014781","HathiTrust Record")</f>
        <v/>
      </c>
      <c r="AU60">
        <f>HYPERLINK("https://creighton-primo.hosted.exlibrisgroup.com/primo-explore/search?tab=default_tab&amp;search_scope=EVERYTHING&amp;vid=01CRU&amp;lang=en_US&amp;offset=0&amp;query=any,contains,991002401919702656","Catalog Record")</f>
        <v/>
      </c>
      <c r="AV60">
        <f>HYPERLINK("http://www.worldcat.org/oclc/337247","WorldCat Record")</f>
        <v/>
      </c>
      <c r="AW60" t="inlineStr">
        <is>
          <t>4159872426:eng</t>
        </is>
      </c>
      <c r="AX60" t="inlineStr">
        <is>
          <t>337247</t>
        </is>
      </c>
      <c r="AY60" t="inlineStr">
        <is>
          <t>991002401919702656</t>
        </is>
      </c>
      <c r="AZ60" t="inlineStr">
        <is>
          <t>991002401919702656</t>
        </is>
      </c>
      <c r="BA60" t="inlineStr">
        <is>
          <t>2255947870002656</t>
        </is>
      </c>
      <c r="BB60" t="inlineStr">
        <is>
          <t>BOOK</t>
        </is>
      </c>
      <c r="BE60" t="inlineStr">
        <is>
          <t>32285001574150</t>
        </is>
      </c>
      <c r="BF60" t="inlineStr">
        <is>
          <t>893622245</t>
        </is>
      </c>
    </row>
    <row r="61">
      <c r="A61" t="inlineStr">
        <is>
          <t>No</t>
        </is>
      </c>
      <c r="B61" t="inlineStr">
        <is>
          <t>CURAL</t>
        </is>
      </c>
      <c r="C61" t="inlineStr">
        <is>
          <t>SHELVES</t>
        </is>
      </c>
      <c r="D61" t="inlineStr">
        <is>
          <t>PQ1782 .N4</t>
        </is>
      </c>
      <c r="E61" t="inlineStr">
        <is>
          <t>0                      PQ 1782000N  4</t>
        </is>
      </c>
      <c r="F61" t="inlineStr">
        <is>
          <t>Corneille : his heroes and their worlds / by Robert J. Nelson.</t>
        </is>
      </c>
      <c r="H61" t="inlineStr">
        <is>
          <t>No</t>
        </is>
      </c>
      <c r="I61" t="inlineStr">
        <is>
          <t>1</t>
        </is>
      </c>
      <c r="J61" t="inlineStr">
        <is>
          <t>No</t>
        </is>
      </c>
      <c r="K61" t="inlineStr">
        <is>
          <t>No</t>
        </is>
      </c>
      <c r="L61" t="inlineStr">
        <is>
          <t>0</t>
        </is>
      </c>
      <c r="M61" t="inlineStr">
        <is>
          <t>Nelson, Robert J.</t>
        </is>
      </c>
      <c r="N61" t="inlineStr">
        <is>
          <t>Philadelphia : University of Pennsylvania Press, c1963.</t>
        </is>
      </c>
      <c r="O61" t="inlineStr">
        <is>
          <t>1963</t>
        </is>
      </c>
      <c r="Q61" t="inlineStr">
        <is>
          <t>eng</t>
        </is>
      </c>
      <c r="R61" t="inlineStr">
        <is>
          <t>xxu</t>
        </is>
      </c>
      <c r="T61" t="inlineStr">
        <is>
          <t xml:space="preserve">PQ </t>
        </is>
      </c>
      <c r="U61" t="n">
        <v>3</v>
      </c>
      <c r="V61" t="n">
        <v>3</v>
      </c>
      <c r="W61" t="inlineStr">
        <is>
          <t>1993-05-03</t>
        </is>
      </c>
      <c r="X61" t="inlineStr">
        <is>
          <t>1993-05-03</t>
        </is>
      </c>
      <c r="Y61" t="inlineStr">
        <is>
          <t>1993-03-18</t>
        </is>
      </c>
      <c r="Z61" t="inlineStr">
        <is>
          <t>1993-03-18</t>
        </is>
      </c>
      <c r="AA61" t="n">
        <v>807</v>
      </c>
      <c r="AB61" t="n">
        <v>665</v>
      </c>
      <c r="AC61" t="n">
        <v>811</v>
      </c>
      <c r="AD61" t="n">
        <v>4</v>
      </c>
      <c r="AE61" t="n">
        <v>4</v>
      </c>
      <c r="AF61" t="n">
        <v>23</v>
      </c>
      <c r="AG61" t="n">
        <v>32</v>
      </c>
      <c r="AH61" t="n">
        <v>8</v>
      </c>
      <c r="AI61" t="n">
        <v>14</v>
      </c>
      <c r="AJ61" t="n">
        <v>6</v>
      </c>
      <c r="AK61" t="n">
        <v>8</v>
      </c>
      <c r="AL61" t="n">
        <v>12</v>
      </c>
      <c r="AM61" t="n">
        <v>15</v>
      </c>
      <c r="AN61" t="n">
        <v>3</v>
      </c>
      <c r="AO61" t="n">
        <v>3</v>
      </c>
      <c r="AP61" t="n">
        <v>0</v>
      </c>
      <c r="AQ61" t="n">
        <v>0</v>
      </c>
      <c r="AR61" t="inlineStr">
        <is>
          <t>No</t>
        </is>
      </c>
      <c r="AS61" t="inlineStr">
        <is>
          <t>Yes</t>
        </is>
      </c>
      <c r="AT61">
        <f>HYPERLINK("http://catalog.hathitrust.org/Record/001014782","HathiTrust Record")</f>
        <v/>
      </c>
      <c r="AU61">
        <f>HYPERLINK("https://creighton-primo.hosted.exlibrisgroup.com/primo-explore/search?tab=default_tab&amp;search_scope=EVERYTHING&amp;vid=01CRU&amp;lang=en_US&amp;offset=0&amp;query=any,contains,991001228619702656","Catalog Record")</f>
        <v/>
      </c>
      <c r="AV61">
        <f>HYPERLINK("http://www.worldcat.org/oclc/17518617","WorldCat Record")</f>
        <v/>
      </c>
      <c r="AW61" t="inlineStr">
        <is>
          <t>196533110:eng</t>
        </is>
      </c>
      <c r="AX61" t="inlineStr">
        <is>
          <t>17518617</t>
        </is>
      </c>
      <c r="AY61" t="inlineStr">
        <is>
          <t>991001228619702656</t>
        </is>
      </c>
      <c r="AZ61" t="inlineStr">
        <is>
          <t>991001228619702656</t>
        </is>
      </c>
      <c r="BA61" t="inlineStr">
        <is>
          <t>2271510640002656</t>
        </is>
      </c>
      <c r="BB61" t="inlineStr">
        <is>
          <t>BOOK</t>
        </is>
      </c>
      <c r="BD61" t="inlineStr">
        <is>
          <t>9780812273847</t>
        </is>
      </c>
      <c r="BE61" t="inlineStr">
        <is>
          <t>32285001574143</t>
        </is>
      </c>
      <c r="BF61" t="inlineStr">
        <is>
          <t>893772418</t>
        </is>
      </c>
    </row>
    <row r="62">
      <c r="A62" t="inlineStr">
        <is>
          <t>No</t>
        </is>
      </c>
      <c r="B62" t="inlineStr">
        <is>
          <t>CURAL</t>
        </is>
      </c>
      <c r="C62" t="inlineStr">
        <is>
          <t>SHELVES</t>
        </is>
      </c>
      <c r="D62" t="inlineStr">
        <is>
          <t>PQ1791 .B4 1960</t>
        </is>
      </c>
      <c r="E62" t="inlineStr">
        <is>
          <t>0                      PQ 1791000B  4           1960</t>
        </is>
      </c>
      <c r="F62" t="inlineStr">
        <is>
          <t>Le berger extravagant : pastorale burlesque / Thomas Corneille. Édition critique présentée par Francis Bar.</t>
        </is>
      </c>
      <c r="H62" t="inlineStr">
        <is>
          <t>No</t>
        </is>
      </c>
      <c r="I62" t="inlineStr">
        <is>
          <t>1</t>
        </is>
      </c>
      <c r="J62" t="inlineStr">
        <is>
          <t>No</t>
        </is>
      </c>
      <c r="K62" t="inlineStr">
        <is>
          <t>No</t>
        </is>
      </c>
      <c r="L62" t="inlineStr">
        <is>
          <t>0</t>
        </is>
      </c>
      <c r="M62" t="inlineStr">
        <is>
          <t>Corneille, Thomas, 1625-1709.</t>
        </is>
      </c>
      <c r="N62" t="inlineStr">
        <is>
          <t>Genève : Droz, 1960.</t>
        </is>
      </c>
      <c r="O62" t="inlineStr">
        <is>
          <t>1960</t>
        </is>
      </c>
      <c r="Q62" t="inlineStr">
        <is>
          <t>fre</t>
        </is>
      </c>
      <c r="R62" t="inlineStr">
        <is>
          <t xml:space="preserve">xx </t>
        </is>
      </c>
      <c r="S62" t="inlineStr">
        <is>
          <t>Textes littéraires français ; 90</t>
        </is>
      </c>
      <c r="T62" t="inlineStr">
        <is>
          <t xml:space="preserve">PQ </t>
        </is>
      </c>
      <c r="U62" t="n">
        <v>1</v>
      </c>
      <c r="V62" t="n">
        <v>1</v>
      </c>
      <c r="W62" t="inlineStr">
        <is>
          <t>1996-07-25</t>
        </is>
      </c>
      <c r="X62" t="inlineStr">
        <is>
          <t>1996-07-25</t>
        </is>
      </c>
      <c r="Y62" t="inlineStr">
        <is>
          <t>1996-06-27</t>
        </is>
      </c>
      <c r="Z62" t="inlineStr">
        <is>
          <t>1996-06-27</t>
        </is>
      </c>
      <c r="AA62" t="n">
        <v>139</v>
      </c>
      <c r="AB62" t="n">
        <v>72</v>
      </c>
      <c r="AC62" t="n">
        <v>74</v>
      </c>
      <c r="AD62" t="n">
        <v>2</v>
      </c>
      <c r="AE62" t="n">
        <v>2</v>
      </c>
      <c r="AF62" t="n">
        <v>3</v>
      </c>
      <c r="AG62" t="n">
        <v>3</v>
      </c>
      <c r="AH62" t="n">
        <v>0</v>
      </c>
      <c r="AI62" t="n">
        <v>0</v>
      </c>
      <c r="AJ62" t="n">
        <v>1</v>
      </c>
      <c r="AK62" t="n">
        <v>1</v>
      </c>
      <c r="AL62" t="n">
        <v>1</v>
      </c>
      <c r="AM62" t="n">
        <v>1</v>
      </c>
      <c r="AN62" t="n">
        <v>1</v>
      </c>
      <c r="AO62" t="n">
        <v>1</v>
      </c>
      <c r="AP62" t="n">
        <v>0</v>
      </c>
      <c r="AQ62" t="n">
        <v>0</v>
      </c>
      <c r="AR62" t="inlineStr">
        <is>
          <t>No</t>
        </is>
      </c>
      <c r="AS62" t="inlineStr">
        <is>
          <t>Yes</t>
        </is>
      </c>
      <c r="AT62">
        <f>HYPERLINK("http://catalog.hathitrust.org/Record/001794121","HathiTrust Record")</f>
        <v/>
      </c>
      <c r="AU62">
        <f>HYPERLINK("https://creighton-primo.hosted.exlibrisgroup.com/primo-explore/search?tab=default_tab&amp;search_scope=EVERYTHING&amp;vid=01CRU&amp;lang=en_US&amp;offset=0&amp;query=any,contains,991004496449702656","Catalog Record")</f>
        <v/>
      </c>
      <c r="AV62">
        <f>HYPERLINK("http://www.worldcat.org/oclc/3701761","WorldCat Record")</f>
        <v/>
      </c>
      <c r="AW62" t="inlineStr">
        <is>
          <t>46104385:fre</t>
        </is>
      </c>
      <c r="AX62" t="inlineStr">
        <is>
          <t>3701761</t>
        </is>
      </c>
      <c r="AY62" t="inlineStr">
        <is>
          <t>991004496449702656</t>
        </is>
      </c>
      <c r="AZ62" t="inlineStr">
        <is>
          <t>991004496449702656</t>
        </is>
      </c>
      <c r="BA62" t="inlineStr">
        <is>
          <t>2268298450002656</t>
        </is>
      </c>
      <c r="BB62" t="inlineStr">
        <is>
          <t>BOOK</t>
        </is>
      </c>
      <c r="BE62" t="inlineStr">
        <is>
          <t>32285002174422</t>
        </is>
      </c>
      <c r="BF62" t="inlineStr">
        <is>
          <t>893235572</t>
        </is>
      </c>
    </row>
    <row r="63">
      <c r="A63" t="inlineStr">
        <is>
          <t>No</t>
        </is>
      </c>
      <c r="B63" t="inlineStr">
        <is>
          <t>CURAL</t>
        </is>
      </c>
      <c r="C63" t="inlineStr">
        <is>
          <t>SHELVES</t>
        </is>
      </c>
      <c r="D63" t="inlineStr">
        <is>
          <t>PQ1799.G795 L4339 2000</t>
        </is>
      </c>
      <c r="E63" t="inlineStr">
        <is>
          <t>0                      PQ 1799000G  795                L  4339        2000</t>
        </is>
      </c>
      <c r="F63" t="inlineStr">
        <is>
          <t>The Portuguese nun : formation of a national myth / Anna Klobucka.</t>
        </is>
      </c>
      <c r="H63" t="inlineStr">
        <is>
          <t>No</t>
        </is>
      </c>
      <c r="I63" t="inlineStr">
        <is>
          <t>1</t>
        </is>
      </c>
      <c r="J63" t="inlineStr">
        <is>
          <t>No</t>
        </is>
      </c>
      <c r="K63" t="inlineStr">
        <is>
          <t>No</t>
        </is>
      </c>
      <c r="L63" t="inlineStr">
        <is>
          <t>0</t>
        </is>
      </c>
      <c r="M63" t="inlineStr">
        <is>
          <t>Klobucka, Anna, 1961-</t>
        </is>
      </c>
      <c r="N63" t="inlineStr">
        <is>
          <t>Lewisburg : Bucknell University Press, 2000.</t>
        </is>
      </c>
      <c r="O63" t="inlineStr">
        <is>
          <t>2000</t>
        </is>
      </c>
      <c r="Q63" t="inlineStr">
        <is>
          <t>eng</t>
        </is>
      </c>
      <c r="R63" t="inlineStr">
        <is>
          <t>pau</t>
        </is>
      </c>
      <c r="T63" t="inlineStr">
        <is>
          <t xml:space="preserve">PQ </t>
        </is>
      </c>
      <c r="U63" t="n">
        <v>1</v>
      </c>
      <c r="V63" t="n">
        <v>1</v>
      </c>
      <c r="W63" t="inlineStr">
        <is>
          <t>2002-07-10</t>
        </is>
      </c>
      <c r="X63" t="inlineStr">
        <is>
          <t>2002-07-10</t>
        </is>
      </c>
      <c r="Y63" t="inlineStr">
        <is>
          <t>2002-07-09</t>
        </is>
      </c>
      <c r="Z63" t="inlineStr">
        <is>
          <t>2002-07-09</t>
        </is>
      </c>
      <c r="AA63" t="n">
        <v>275</v>
      </c>
      <c r="AB63" t="n">
        <v>243</v>
      </c>
      <c r="AC63" t="n">
        <v>245</v>
      </c>
      <c r="AD63" t="n">
        <v>2</v>
      </c>
      <c r="AE63" t="n">
        <v>2</v>
      </c>
      <c r="AF63" t="n">
        <v>15</v>
      </c>
      <c r="AG63" t="n">
        <v>15</v>
      </c>
      <c r="AH63" t="n">
        <v>6</v>
      </c>
      <c r="AI63" t="n">
        <v>6</v>
      </c>
      <c r="AJ63" t="n">
        <v>5</v>
      </c>
      <c r="AK63" t="n">
        <v>5</v>
      </c>
      <c r="AL63" t="n">
        <v>8</v>
      </c>
      <c r="AM63" t="n">
        <v>8</v>
      </c>
      <c r="AN63" t="n">
        <v>1</v>
      </c>
      <c r="AO63" t="n">
        <v>1</v>
      </c>
      <c r="AP63" t="n">
        <v>0</v>
      </c>
      <c r="AQ63" t="n">
        <v>0</v>
      </c>
      <c r="AR63" t="inlineStr">
        <is>
          <t>No</t>
        </is>
      </c>
      <c r="AS63" t="inlineStr">
        <is>
          <t>Yes</t>
        </is>
      </c>
      <c r="AT63">
        <f>HYPERLINK("http://catalog.hathitrust.org/Record/004134413","HathiTrust Record")</f>
        <v/>
      </c>
      <c r="AU63">
        <f>HYPERLINK("https://creighton-primo.hosted.exlibrisgroup.com/primo-explore/search?tab=default_tab&amp;search_scope=EVERYTHING&amp;vid=01CRU&amp;lang=en_US&amp;offset=0&amp;query=any,contains,991003824429702656","Catalog Record")</f>
        <v/>
      </c>
      <c r="AV63">
        <f>HYPERLINK("http://www.worldcat.org/oclc/44026404","WorldCat Record")</f>
        <v/>
      </c>
      <c r="AW63" t="inlineStr">
        <is>
          <t>52597:eng</t>
        </is>
      </c>
      <c r="AX63" t="inlineStr">
        <is>
          <t>44026404</t>
        </is>
      </c>
      <c r="AY63" t="inlineStr">
        <is>
          <t>991003824429702656</t>
        </is>
      </c>
      <c r="AZ63" t="inlineStr">
        <is>
          <t>991003824429702656</t>
        </is>
      </c>
      <c r="BA63" t="inlineStr">
        <is>
          <t>2266820200002656</t>
        </is>
      </c>
      <c r="BB63" t="inlineStr">
        <is>
          <t>BOOK</t>
        </is>
      </c>
      <c r="BD63" t="inlineStr">
        <is>
          <t>9780838754658</t>
        </is>
      </c>
      <c r="BE63" t="inlineStr">
        <is>
          <t>32285004496468</t>
        </is>
      </c>
      <c r="BF63" t="inlineStr">
        <is>
          <t>893711838</t>
        </is>
      </c>
    </row>
    <row r="64">
      <c r="A64" t="inlineStr">
        <is>
          <t>No</t>
        </is>
      </c>
      <c r="B64" t="inlineStr">
        <is>
          <t>CURAL</t>
        </is>
      </c>
      <c r="C64" t="inlineStr">
        <is>
          <t>SHELVES</t>
        </is>
      </c>
      <c r="D64" t="inlineStr">
        <is>
          <t>PQ1803 .K5 1974</t>
        </is>
      </c>
      <c r="E64" t="inlineStr">
        <is>
          <t>0                      PQ 1803000K  5           1974</t>
        </is>
      </c>
      <c r="F64" t="inlineStr">
        <is>
          <t>Jean de la Bruyère / by Edward C. Knox.</t>
        </is>
      </c>
      <c r="H64" t="inlineStr">
        <is>
          <t>No</t>
        </is>
      </c>
      <c r="I64" t="inlineStr">
        <is>
          <t>1</t>
        </is>
      </c>
      <c r="J64" t="inlineStr">
        <is>
          <t>No</t>
        </is>
      </c>
      <c r="K64" t="inlineStr">
        <is>
          <t>No</t>
        </is>
      </c>
      <c r="L64" t="inlineStr">
        <is>
          <t>0</t>
        </is>
      </c>
      <c r="M64" t="inlineStr">
        <is>
          <t>Knox, Edward C.</t>
        </is>
      </c>
      <c r="N64" t="inlineStr">
        <is>
          <t>New York : Twayne Publishers, [1974, c1973]</t>
        </is>
      </c>
      <c r="O64" t="inlineStr">
        <is>
          <t>1974</t>
        </is>
      </c>
      <c r="Q64" t="inlineStr">
        <is>
          <t>eng</t>
        </is>
      </c>
      <c r="R64" t="inlineStr">
        <is>
          <t>nyu</t>
        </is>
      </c>
      <c r="S64" t="inlineStr">
        <is>
          <t>Twayne's world authors series, TWAS 298. France</t>
        </is>
      </c>
      <c r="T64" t="inlineStr">
        <is>
          <t xml:space="preserve">PQ </t>
        </is>
      </c>
      <c r="U64" t="n">
        <v>2</v>
      </c>
      <c r="V64" t="n">
        <v>2</v>
      </c>
      <c r="W64" t="inlineStr">
        <is>
          <t>1993-12-16</t>
        </is>
      </c>
      <c r="X64" t="inlineStr">
        <is>
          <t>1993-12-16</t>
        </is>
      </c>
      <c r="Y64" t="inlineStr">
        <is>
          <t>1993-05-05</t>
        </is>
      </c>
      <c r="Z64" t="inlineStr">
        <is>
          <t>1993-05-05</t>
        </is>
      </c>
      <c r="AA64" t="n">
        <v>593</v>
      </c>
      <c r="AB64" t="n">
        <v>531</v>
      </c>
      <c r="AC64" t="n">
        <v>549</v>
      </c>
      <c r="AD64" t="n">
        <v>4</v>
      </c>
      <c r="AE64" t="n">
        <v>4</v>
      </c>
      <c r="AF64" t="n">
        <v>23</v>
      </c>
      <c r="AG64" t="n">
        <v>24</v>
      </c>
      <c r="AH64" t="n">
        <v>10</v>
      </c>
      <c r="AI64" t="n">
        <v>10</v>
      </c>
      <c r="AJ64" t="n">
        <v>4</v>
      </c>
      <c r="AK64" t="n">
        <v>5</v>
      </c>
      <c r="AL64" t="n">
        <v>11</v>
      </c>
      <c r="AM64" t="n">
        <v>12</v>
      </c>
      <c r="AN64" t="n">
        <v>3</v>
      </c>
      <c r="AO64" t="n">
        <v>3</v>
      </c>
      <c r="AP64" t="n">
        <v>0</v>
      </c>
      <c r="AQ64" t="n">
        <v>0</v>
      </c>
      <c r="AR64" t="inlineStr">
        <is>
          <t>No</t>
        </is>
      </c>
      <c r="AS64" t="inlineStr">
        <is>
          <t>No</t>
        </is>
      </c>
      <c r="AU64">
        <f>HYPERLINK("https://creighton-primo.hosted.exlibrisgroup.com/primo-explore/search?tab=default_tab&amp;search_scope=EVERYTHING&amp;vid=01CRU&amp;lang=en_US&amp;offset=0&amp;query=any,contains,991003167829702656","Catalog Record")</f>
        <v/>
      </c>
      <c r="AV64">
        <f>HYPERLINK("http://www.worldcat.org/oclc/704906","WorldCat Record")</f>
        <v/>
      </c>
      <c r="AW64" t="inlineStr">
        <is>
          <t>461413:eng</t>
        </is>
      </c>
      <c r="AX64" t="inlineStr">
        <is>
          <t>704906</t>
        </is>
      </c>
      <c r="AY64" t="inlineStr">
        <is>
          <t>991003167829702656</t>
        </is>
      </c>
      <c r="AZ64" t="inlineStr">
        <is>
          <t>991003167829702656</t>
        </is>
      </c>
      <c r="BA64" t="inlineStr">
        <is>
          <t>2259242370002656</t>
        </is>
      </c>
      <c r="BB64" t="inlineStr">
        <is>
          <t>BOOK</t>
        </is>
      </c>
      <c r="BD64" t="inlineStr">
        <is>
          <t>9780805725070</t>
        </is>
      </c>
      <c r="BE64" t="inlineStr">
        <is>
          <t>32285001633873</t>
        </is>
      </c>
      <c r="BF64" t="inlineStr">
        <is>
          <t>893780672</t>
        </is>
      </c>
    </row>
    <row r="65">
      <c r="A65" t="inlineStr">
        <is>
          <t>No</t>
        </is>
      </c>
      <c r="B65" t="inlineStr">
        <is>
          <t>CURAL</t>
        </is>
      </c>
      <c r="C65" t="inlineStr">
        <is>
          <t>SHELVES</t>
        </is>
      </c>
      <c r="D65" t="inlineStr">
        <is>
          <t>PQ1808 .G8</t>
        </is>
      </c>
      <c r="E65" t="inlineStr">
        <is>
          <t>0                      PQ 1808000G  8</t>
        </is>
      </c>
      <c r="F65" t="inlineStr">
        <is>
          <t>La Fontaine : poet and counterpoet / Margaret Guiton.</t>
        </is>
      </c>
      <c r="H65" t="inlineStr">
        <is>
          <t>No</t>
        </is>
      </c>
      <c r="I65" t="inlineStr">
        <is>
          <t>1</t>
        </is>
      </c>
      <c r="J65" t="inlineStr">
        <is>
          <t>Yes</t>
        </is>
      </c>
      <c r="K65" t="inlineStr">
        <is>
          <t>Yes</t>
        </is>
      </c>
      <c r="L65" t="inlineStr">
        <is>
          <t>0</t>
        </is>
      </c>
      <c r="M65" t="inlineStr">
        <is>
          <t>Guiton, Margaret.</t>
        </is>
      </c>
      <c r="N65" t="inlineStr">
        <is>
          <t>New Brunswick, N.J. : Rutgers University Press, [1961]</t>
        </is>
      </c>
      <c r="O65" t="inlineStr">
        <is>
          <t>1961</t>
        </is>
      </c>
      <c r="Q65" t="inlineStr">
        <is>
          <t>eng</t>
        </is>
      </c>
      <c r="R65" t="inlineStr">
        <is>
          <t>nju</t>
        </is>
      </c>
      <c r="T65" t="inlineStr">
        <is>
          <t xml:space="preserve">PQ </t>
        </is>
      </c>
      <c r="U65" t="n">
        <v>8</v>
      </c>
      <c r="V65" t="n">
        <v>8</v>
      </c>
      <c r="W65" t="inlineStr">
        <is>
          <t>1997-02-13</t>
        </is>
      </c>
      <c r="X65" t="inlineStr">
        <is>
          <t>1997-02-13</t>
        </is>
      </c>
      <c r="Y65" t="inlineStr">
        <is>
          <t>1993-03-25</t>
        </is>
      </c>
      <c r="Z65" t="inlineStr">
        <is>
          <t>2012-07-26</t>
        </is>
      </c>
      <c r="AA65" t="n">
        <v>818</v>
      </c>
      <c r="AB65" t="n">
        <v>746</v>
      </c>
      <c r="AC65" t="n">
        <v>811</v>
      </c>
      <c r="AD65" t="n">
        <v>4</v>
      </c>
      <c r="AE65" t="n">
        <v>6</v>
      </c>
      <c r="AF65" t="n">
        <v>34</v>
      </c>
      <c r="AG65" t="n">
        <v>38</v>
      </c>
      <c r="AH65" t="n">
        <v>14</v>
      </c>
      <c r="AI65" t="n">
        <v>16</v>
      </c>
      <c r="AJ65" t="n">
        <v>7</v>
      </c>
      <c r="AK65" t="n">
        <v>7</v>
      </c>
      <c r="AL65" t="n">
        <v>19</v>
      </c>
      <c r="AM65" t="n">
        <v>21</v>
      </c>
      <c r="AN65" t="n">
        <v>3</v>
      </c>
      <c r="AO65" t="n">
        <v>5</v>
      </c>
      <c r="AP65" t="n">
        <v>0</v>
      </c>
      <c r="AQ65" t="n">
        <v>0</v>
      </c>
      <c r="AR65" t="inlineStr">
        <is>
          <t>No</t>
        </is>
      </c>
      <c r="AS65" t="inlineStr">
        <is>
          <t>Yes</t>
        </is>
      </c>
      <c r="AT65">
        <f>HYPERLINK("http://catalog.hathitrust.org/Record/001362226","HathiTrust Record")</f>
        <v/>
      </c>
      <c r="AU65">
        <f>HYPERLINK("https://creighton-primo.hosted.exlibrisgroup.com/primo-explore/search?tab=default_tab&amp;search_scope=EVERYTHING&amp;vid=01CRU&amp;lang=en_US&amp;offset=0&amp;query=any,contains,991002401949702656","Catalog Record")</f>
        <v/>
      </c>
      <c r="AV65">
        <f>HYPERLINK("http://www.worldcat.org/oclc/337269","WorldCat Record")</f>
        <v/>
      </c>
      <c r="AW65" t="inlineStr">
        <is>
          <t>351010468:eng</t>
        </is>
      </c>
      <c r="AX65" t="inlineStr">
        <is>
          <t>337269</t>
        </is>
      </c>
      <c r="AY65" t="inlineStr">
        <is>
          <t>991002401949702656</t>
        </is>
      </c>
      <c r="AZ65" t="inlineStr">
        <is>
          <t>991002401949702656</t>
        </is>
      </c>
      <c r="BA65" t="inlineStr">
        <is>
          <t>2255947050002656</t>
        </is>
      </c>
      <c r="BB65" t="inlineStr">
        <is>
          <t>BOOK</t>
        </is>
      </c>
      <c r="BE65" t="inlineStr">
        <is>
          <t>32285001591204</t>
        </is>
      </c>
      <c r="BF65" t="inlineStr">
        <is>
          <t>893226798</t>
        </is>
      </c>
    </row>
    <row r="66">
      <c r="A66" t="inlineStr">
        <is>
          <t>No</t>
        </is>
      </c>
      <c r="B66" t="inlineStr">
        <is>
          <t>CURAL</t>
        </is>
      </c>
      <c r="C66" t="inlineStr">
        <is>
          <t>SHELVES</t>
        </is>
      </c>
      <c r="D66" t="inlineStr">
        <is>
          <t>PQ1812 .H3 1970</t>
        </is>
      </c>
      <c r="E66" t="inlineStr">
        <is>
          <t>0                      PQ 1812000H  3           1970</t>
        </is>
      </c>
      <c r="F66" t="inlineStr">
        <is>
          <t>Jean de la Fontaine.</t>
        </is>
      </c>
      <c r="H66" t="inlineStr">
        <is>
          <t>No</t>
        </is>
      </c>
      <c r="I66" t="inlineStr">
        <is>
          <t>1</t>
        </is>
      </c>
      <c r="J66" t="inlineStr">
        <is>
          <t>No</t>
        </is>
      </c>
      <c r="K66" t="inlineStr">
        <is>
          <t>Yes</t>
        </is>
      </c>
      <c r="L66" t="inlineStr">
        <is>
          <t>0</t>
        </is>
      </c>
      <c r="M66" t="inlineStr">
        <is>
          <t>Hamel, Frank.</t>
        </is>
      </c>
      <c r="N66" t="inlineStr">
        <is>
          <t>Port Washington, N.Y. : Kennikat Press, [1970]</t>
        </is>
      </c>
      <c r="O66" t="inlineStr">
        <is>
          <t>1970</t>
        </is>
      </c>
      <c r="Q66" t="inlineStr">
        <is>
          <t>eng</t>
        </is>
      </c>
      <c r="R66" t="inlineStr">
        <is>
          <t>nyu</t>
        </is>
      </c>
      <c r="T66" t="inlineStr">
        <is>
          <t xml:space="preserve">PQ </t>
        </is>
      </c>
      <c r="U66" t="n">
        <v>5</v>
      </c>
      <c r="V66" t="n">
        <v>5</v>
      </c>
      <c r="W66" t="inlineStr">
        <is>
          <t>1997-02-13</t>
        </is>
      </c>
      <c r="X66" t="inlineStr">
        <is>
          <t>1997-02-13</t>
        </is>
      </c>
      <c r="Y66" t="inlineStr">
        <is>
          <t>1993-04-06</t>
        </is>
      </c>
      <c r="Z66" t="inlineStr">
        <is>
          <t>1993-04-06</t>
        </is>
      </c>
      <c r="AA66" t="n">
        <v>178</v>
      </c>
      <c r="AB66" t="n">
        <v>162</v>
      </c>
      <c r="AC66" t="n">
        <v>288</v>
      </c>
      <c r="AD66" t="n">
        <v>3</v>
      </c>
      <c r="AE66" t="n">
        <v>3</v>
      </c>
      <c r="AF66" t="n">
        <v>9</v>
      </c>
      <c r="AG66" t="n">
        <v>11</v>
      </c>
      <c r="AH66" t="n">
        <v>3</v>
      </c>
      <c r="AI66" t="n">
        <v>3</v>
      </c>
      <c r="AJ66" t="n">
        <v>3</v>
      </c>
      <c r="AK66" t="n">
        <v>4</v>
      </c>
      <c r="AL66" t="n">
        <v>5</v>
      </c>
      <c r="AM66" t="n">
        <v>6</v>
      </c>
      <c r="AN66" t="n">
        <v>2</v>
      </c>
      <c r="AO66" t="n">
        <v>2</v>
      </c>
      <c r="AP66" t="n">
        <v>0</v>
      </c>
      <c r="AQ66" t="n">
        <v>0</v>
      </c>
      <c r="AR66" t="inlineStr">
        <is>
          <t>No</t>
        </is>
      </c>
      <c r="AS66" t="inlineStr">
        <is>
          <t>No</t>
        </is>
      </c>
      <c r="AU66">
        <f>HYPERLINK("https://creighton-primo.hosted.exlibrisgroup.com/primo-explore/search?tab=default_tab&amp;search_scope=EVERYTHING&amp;vid=01CRU&amp;lang=en_US&amp;offset=0&amp;query=any,contains,991000609209702656","Catalog Record")</f>
        <v/>
      </c>
      <c r="AV66">
        <f>HYPERLINK("http://www.worldcat.org/oclc/100135","WorldCat Record")</f>
        <v/>
      </c>
      <c r="AW66" t="inlineStr">
        <is>
          <t>1166755:eng</t>
        </is>
      </c>
      <c r="AX66" t="inlineStr">
        <is>
          <t>100135</t>
        </is>
      </c>
      <c r="AY66" t="inlineStr">
        <is>
          <t>991000609209702656</t>
        </is>
      </c>
      <c r="AZ66" t="inlineStr">
        <is>
          <t>991000609209702656</t>
        </is>
      </c>
      <c r="BA66" t="inlineStr">
        <is>
          <t>2258328170002656</t>
        </is>
      </c>
      <c r="BB66" t="inlineStr">
        <is>
          <t>BOOK</t>
        </is>
      </c>
      <c r="BD66" t="inlineStr">
        <is>
          <t>9780804609968</t>
        </is>
      </c>
      <c r="BE66" t="inlineStr">
        <is>
          <t>32285001602472</t>
        </is>
      </c>
      <c r="BF66" t="inlineStr">
        <is>
          <t>893683578</t>
        </is>
      </c>
    </row>
    <row r="67">
      <c r="A67" t="inlineStr">
        <is>
          <t>No</t>
        </is>
      </c>
      <c r="B67" t="inlineStr">
        <is>
          <t>CURAL</t>
        </is>
      </c>
      <c r="C67" t="inlineStr">
        <is>
          <t>SHELVES</t>
        </is>
      </c>
      <c r="D67" t="inlineStr">
        <is>
          <t>PQ1812 .O7</t>
        </is>
      </c>
      <c r="E67" t="inlineStr">
        <is>
          <t>0                      PQ 1812000O  7</t>
        </is>
      </c>
      <c r="F67" t="inlineStr">
        <is>
          <t>La Fontaine : ou, La vie est un conte / Jean Orieux.</t>
        </is>
      </c>
      <c r="H67" t="inlineStr">
        <is>
          <t>No</t>
        </is>
      </c>
      <c r="I67" t="inlineStr">
        <is>
          <t>1</t>
        </is>
      </c>
      <c r="J67" t="inlineStr">
        <is>
          <t>No</t>
        </is>
      </c>
      <c r="K67" t="inlineStr">
        <is>
          <t>No</t>
        </is>
      </c>
      <c r="L67" t="inlineStr">
        <is>
          <t>0</t>
        </is>
      </c>
      <c r="M67" t="inlineStr">
        <is>
          <t>Orieux, Jean, 1907-1990.</t>
        </is>
      </c>
      <c r="N67" t="inlineStr">
        <is>
          <t>Paris : Flammarion, c1976.</t>
        </is>
      </c>
      <c r="O67" t="inlineStr">
        <is>
          <t>1976</t>
        </is>
      </c>
      <c r="Q67" t="inlineStr">
        <is>
          <t>fre</t>
        </is>
      </c>
      <c r="R67" t="inlineStr">
        <is>
          <t xml:space="preserve">fr </t>
        </is>
      </c>
      <c r="T67" t="inlineStr">
        <is>
          <t xml:space="preserve">PQ </t>
        </is>
      </c>
      <c r="U67" t="n">
        <v>4</v>
      </c>
      <c r="V67" t="n">
        <v>4</v>
      </c>
      <c r="W67" t="inlineStr">
        <is>
          <t>1997-02-19</t>
        </is>
      </c>
      <c r="X67" t="inlineStr">
        <is>
          <t>1997-02-19</t>
        </is>
      </c>
      <c r="Y67" t="inlineStr">
        <is>
          <t>1993-03-25</t>
        </is>
      </c>
      <c r="Z67" t="inlineStr">
        <is>
          <t>1993-03-25</t>
        </is>
      </c>
      <c r="AA67" t="n">
        <v>258</v>
      </c>
      <c r="AB67" t="n">
        <v>160</v>
      </c>
      <c r="AC67" t="n">
        <v>173</v>
      </c>
      <c r="AD67" t="n">
        <v>3</v>
      </c>
      <c r="AE67" t="n">
        <v>3</v>
      </c>
      <c r="AF67" t="n">
        <v>8</v>
      </c>
      <c r="AG67" t="n">
        <v>8</v>
      </c>
      <c r="AH67" t="n">
        <v>1</v>
      </c>
      <c r="AI67" t="n">
        <v>1</v>
      </c>
      <c r="AJ67" t="n">
        <v>3</v>
      </c>
      <c r="AK67" t="n">
        <v>3</v>
      </c>
      <c r="AL67" t="n">
        <v>4</v>
      </c>
      <c r="AM67" t="n">
        <v>4</v>
      </c>
      <c r="AN67" t="n">
        <v>2</v>
      </c>
      <c r="AO67" t="n">
        <v>2</v>
      </c>
      <c r="AP67" t="n">
        <v>0</v>
      </c>
      <c r="AQ67" t="n">
        <v>0</v>
      </c>
      <c r="AR67" t="inlineStr">
        <is>
          <t>No</t>
        </is>
      </c>
      <c r="AS67" t="inlineStr">
        <is>
          <t>Yes</t>
        </is>
      </c>
      <c r="AT67">
        <f>HYPERLINK("http://catalog.hathitrust.org/Record/000741553","HathiTrust Record")</f>
        <v/>
      </c>
      <c r="AU67">
        <f>HYPERLINK("https://creighton-primo.hosted.exlibrisgroup.com/primo-explore/search?tab=default_tab&amp;search_scope=EVERYTHING&amp;vid=01CRU&amp;lang=en_US&amp;offset=0&amp;query=any,contains,991004109349702656","Catalog Record")</f>
        <v/>
      </c>
      <c r="AV67">
        <f>HYPERLINK("http://www.worldcat.org/oclc/2391788","WorldCat Record")</f>
        <v/>
      </c>
      <c r="AW67" t="inlineStr">
        <is>
          <t>347819864:fre</t>
        </is>
      </c>
      <c r="AX67" t="inlineStr">
        <is>
          <t>2391788</t>
        </is>
      </c>
      <c r="AY67" t="inlineStr">
        <is>
          <t>991004109349702656</t>
        </is>
      </c>
      <c r="AZ67" t="inlineStr">
        <is>
          <t>991004109349702656</t>
        </is>
      </c>
      <c r="BA67" t="inlineStr">
        <is>
          <t>2270796680002656</t>
        </is>
      </c>
      <c r="BB67" t="inlineStr">
        <is>
          <t>BOOK</t>
        </is>
      </c>
      <c r="BD67" t="inlineStr">
        <is>
          <t>9782080608604</t>
        </is>
      </c>
      <c r="BE67" t="inlineStr">
        <is>
          <t>32285001591196</t>
        </is>
      </c>
      <c r="BF67" t="inlineStr">
        <is>
          <t>893435897</t>
        </is>
      </c>
    </row>
    <row r="68">
      <c r="A68" t="inlineStr">
        <is>
          <t>No</t>
        </is>
      </c>
      <c r="B68" t="inlineStr">
        <is>
          <t>CURAL</t>
        </is>
      </c>
      <c r="C68" t="inlineStr">
        <is>
          <t>SHELVES</t>
        </is>
      </c>
      <c r="D68" t="inlineStr">
        <is>
          <t>PQ1815 .M68</t>
        </is>
      </c>
      <c r="E68" t="inlineStr">
        <is>
          <t>0                      PQ 1815000M  68</t>
        </is>
      </c>
      <c r="F68" t="inlineStr">
        <is>
          <t>Two French moralists : La Rochefoucauld &amp; La Bruyère / Odette de Mourgues.</t>
        </is>
      </c>
      <c r="H68" t="inlineStr">
        <is>
          <t>No</t>
        </is>
      </c>
      <c r="I68" t="inlineStr">
        <is>
          <t>1</t>
        </is>
      </c>
      <c r="J68" t="inlineStr">
        <is>
          <t>No</t>
        </is>
      </c>
      <c r="K68" t="inlineStr">
        <is>
          <t>No</t>
        </is>
      </c>
      <c r="L68" t="inlineStr">
        <is>
          <t>0</t>
        </is>
      </c>
      <c r="M68" t="inlineStr">
        <is>
          <t>Mourgues, Odette de.</t>
        </is>
      </c>
      <c r="N68" t="inlineStr">
        <is>
          <t>Cambridge [Eng.] ; New York : Cambridge University Press, 1978.</t>
        </is>
      </c>
      <c r="O68" t="inlineStr">
        <is>
          <t>1978</t>
        </is>
      </c>
      <c r="Q68" t="inlineStr">
        <is>
          <t>eng</t>
        </is>
      </c>
      <c r="R68" t="inlineStr">
        <is>
          <t>enk</t>
        </is>
      </c>
      <c r="S68" t="inlineStr">
        <is>
          <t>Major European authors</t>
        </is>
      </c>
      <c r="T68" t="inlineStr">
        <is>
          <t xml:space="preserve">PQ </t>
        </is>
      </c>
      <c r="U68" t="n">
        <v>7</v>
      </c>
      <c r="V68" t="n">
        <v>7</v>
      </c>
      <c r="W68" t="inlineStr">
        <is>
          <t>2000-02-10</t>
        </is>
      </c>
      <c r="X68" t="inlineStr">
        <is>
          <t>2000-02-10</t>
        </is>
      </c>
      <c r="Y68" t="inlineStr">
        <is>
          <t>1991-05-07</t>
        </is>
      </c>
      <c r="Z68" t="inlineStr">
        <is>
          <t>1991-05-07</t>
        </is>
      </c>
      <c r="AA68" t="n">
        <v>583</v>
      </c>
      <c r="AB68" t="n">
        <v>457</v>
      </c>
      <c r="AC68" t="n">
        <v>468</v>
      </c>
      <c r="AD68" t="n">
        <v>4</v>
      </c>
      <c r="AE68" t="n">
        <v>4</v>
      </c>
      <c r="AF68" t="n">
        <v>16</v>
      </c>
      <c r="AG68" t="n">
        <v>16</v>
      </c>
      <c r="AH68" t="n">
        <v>6</v>
      </c>
      <c r="AI68" t="n">
        <v>6</v>
      </c>
      <c r="AJ68" t="n">
        <v>4</v>
      </c>
      <c r="AK68" t="n">
        <v>4</v>
      </c>
      <c r="AL68" t="n">
        <v>5</v>
      </c>
      <c r="AM68" t="n">
        <v>5</v>
      </c>
      <c r="AN68" t="n">
        <v>3</v>
      </c>
      <c r="AO68" t="n">
        <v>3</v>
      </c>
      <c r="AP68" t="n">
        <v>0</v>
      </c>
      <c r="AQ68" t="n">
        <v>0</v>
      </c>
      <c r="AR68" t="inlineStr">
        <is>
          <t>No</t>
        </is>
      </c>
      <c r="AS68" t="inlineStr">
        <is>
          <t>Yes</t>
        </is>
      </c>
      <c r="AT68">
        <f>HYPERLINK("http://catalog.hathitrust.org/Record/000024918","HathiTrust Record")</f>
        <v/>
      </c>
      <c r="AU68">
        <f>HYPERLINK("https://creighton-primo.hosted.exlibrisgroup.com/primo-explore/search?tab=default_tab&amp;search_scope=EVERYTHING&amp;vid=01CRU&amp;lang=en_US&amp;offset=0&amp;query=any,contains,991004392579702656","Catalog Record")</f>
        <v/>
      </c>
      <c r="AV68">
        <f>HYPERLINK("http://www.worldcat.org/oclc/3272827","WorldCat Record")</f>
        <v/>
      </c>
      <c r="AW68" t="inlineStr">
        <is>
          <t>347375917:eng</t>
        </is>
      </c>
      <c r="AX68" t="inlineStr">
        <is>
          <t>3272827</t>
        </is>
      </c>
      <c r="AY68" t="inlineStr">
        <is>
          <t>991004392579702656</t>
        </is>
      </c>
      <c r="AZ68" t="inlineStr">
        <is>
          <t>991004392579702656</t>
        </is>
      </c>
      <c r="BA68" t="inlineStr">
        <is>
          <t>2263639860002656</t>
        </is>
      </c>
      <c r="BB68" t="inlineStr">
        <is>
          <t>BOOK</t>
        </is>
      </c>
      <c r="BD68" t="inlineStr">
        <is>
          <t>9780521218238</t>
        </is>
      </c>
      <c r="BE68" t="inlineStr">
        <is>
          <t>32285000601491</t>
        </is>
      </c>
      <c r="BF68" t="inlineStr">
        <is>
          <t>893718851</t>
        </is>
      </c>
    </row>
    <row r="69">
      <c r="A69" t="inlineStr">
        <is>
          <t>No</t>
        </is>
      </c>
      <c r="B69" t="inlineStr">
        <is>
          <t>CURAL</t>
        </is>
      </c>
      <c r="C69" t="inlineStr">
        <is>
          <t>SHELVES</t>
        </is>
      </c>
      <c r="D69" t="inlineStr">
        <is>
          <t>PQ1837.A1 M6 1966</t>
        </is>
      </c>
      <c r="E69" t="inlineStr">
        <is>
          <t>0                      PQ 1837000A  1                  M  6           1966</t>
        </is>
      </c>
      <c r="F69" t="inlineStr">
        <is>
          <t>Le misanthrope de Molière : étude et analyse / par René Doumic.</t>
        </is>
      </c>
      <c r="H69" t="inlineStr">
        <is>
          <t>No</t>
        </is>
      </c>
      <c r="I69" t="inlineStr">
        <is>
          <t>1</t>
        </is>
      </c>
      <c r="J69" t="inlineStr">
        <is>
          <t>No</t>
        </is>
      </c>
      <c r="K69" t="inlineStr">
        <is>
          <t>No</t>
        </is>
      </c>
      <c r="L69" t="inlineStr">
        <is>
          <t>0</t>
        </is>
      </c>
      <c r="M69" t="inlineStr">
        <is>
          <t>Doumic, René, 1860-1937.</t>
        </is>
      </c>
      <c r="N69" t="inlineStr">
        <is>
          <t>Paris : Éditions de la Pensée Moderne, c1966.</t>
        </is>
      </c>
      <c r="O69" t="inlineStr">
        <is>
          <t>1966</t>
        </is>
      </c>
      <c r="Q69" t="inlineStr">
        <is>
          <t>fre</t>
        </is>
      </c>
      <c r="R69" t="inlineStr">
        <is>
          <t xml:space="preserve">fr </t>
        </is>
      </c>
      <c r="S69" t="inlineStr">
        <is>
          <t>Les chefs-d'oeuvre de la littérature expliqués</t>
        </is>
      </c>
      <c r="T69" t="inlineStr">
        <is>
          <t xml:space="preserve">PQ </t>
        </is>
      </c>
      <c r="U69" t="n">
        <v>1</v>
      </c>
      <c r="V69" t="n">
        <v>1</v>
      </c>
      <c r="W69" t="inlineStr">
        <is>
          <t>2001-04-10</t>
        </is>
      </c>
      <c r="X69" t="inlineStr">
        <is>
          <t>2001-04-10</t>
        </is>
      </c>
      <c r="Y69" t="inlineStr">
        <is>
          <t>1997-05-13</t>
        </is>
      </c>
      <c r="Z69" t="inlineStr">
        <is>
          <t>1997-05-13</t>
        </is>
      </c>
      <c r="AA69" t="n">
        <v>34</v>
      </c>
      <c r="AB69" t="n">
        <v>24</v>
      </c>
      <c r="AC69" t="n">
        <v>77</v>
      </c>
      <c r="AD69" t="n">
        <v>1</v>
      </c>
      <c r="AE69" t="n">
        <v>2</v>
      </c>
      <c r="AF69" t="n">
        <v>3</v>
      </c>
      <c r="AG69" t="n">
        <v>6</v>
      </c>
      <c r="AH69" t="n">
        <v>1</v>
      </c>
      <c r="AI69" t="n">
        <v>3</v>
      </c>
      <c r="AJ69" t="n">
        <v>0</v>
      </c>
      <c r="AK69" t="n">
        <v>0</v>
      </c>
      <c r="AL69" t="n">
        <v>3</v>
      </c>
      <c r="AM69" t="n">
        <v>4</v>
      </c>
      <c r="AN69" t="n">
        <v>0</v>
      </c>
      <c r="AO69" t="n">
        <v>1</v>
      </c>
      <c r="AP69" t="n">
        <v>0</v>
      </c>
      <c r="AQ69" t="n">
        <v>0</v>
      </c>
      <c r="AR69" t="inlineStr">
        <is>
          <t>No</t>
        </is>
      </c>
      <c r="AS69" t="inlineStr">
        <is>
          <t>No</t>
        </is>
      </c>
      <c r="AU69">
        <f>HYPERLINK("https://creighton-primo.hosted.exlibrisgroup.com/primo-explore/search?tab=default_tab&amp;search_scope=EVERYTHING&amp;vid=01CRU&amp;lang=en_US&amp;offset=0&amp;query=any,contains,991005215129702656","Catalog Record")</f>
        <v/>
      </c>
      <c r="AV69">
        <f>HYPERLINK("http://www.worldcat.org/oclc/8179193","WorldCat Record")</f>
        <v/>
      </c>
      <c r="AW69" t="inlineStr">
        <is>
          <t>365463872:fre</t>
        </is>
      </c>
      <c r="AX69" t="inlineStr">
        <is>
          <t>8179193</t>
        </is>
      </c>
      <c r="AY69" t="inlineStr">
        <is>
          <t>991005215129702656</t>
        </is>
      </c>
      <c r="AZ69" t="inlineStr">
        <is>
          <t>991005215129702656</t>
        </is>
      </c>
      <c r="BA69" t="inlineStr">
        <is>
          <t>2256533910002656</t>
        </is>
      </c>
      <c r="BB69" t="inlineStr">
        <is>
          <t>BOOK</t>
        </is>
      </c>
      <c r="BE69" t="inlineStr">
        <is>
          <t>32285002652435</t>
        </is>
      </c>
      <c r="BF69" t="inlineStr">
        <is>
          <t>893905309</t>
        </is>
      </c>
    </row>
    <row r="70">
      <c r="A70" t="inlineStr">
        <is>
          <t>No</t>
        </is>
      </c>
      <c r="B70" t="inlineStr">
        <is>
          <t>CURAL</t>
        </is>
      </c>
      <c r="C70" t="inlineStr">
        <is>
          <t>SHELVES</t>
        </is>
      </c>
      <c r="D70" t="inlineStr">
        <is>
          <t>PQ1852 .B7 1942</t>
        </is>
      </c>
      <c r="E70" t="inlineStr">
        <is>
          <t>0                      PQ 1852000B  7           1942</t>
        </is>
      </c>
      <c r="F70" t="inlineStr">
        <is>
          <t>Molière : sa vie dans ses œuvres.</t>
        </is>
      </c>
      <c r="H70" t="inlineStr">
        <is>
          <t>No</t>
        </is>
      </c>
      <c r="I70" t="inlineStr">
        <is>
          <t>1</t>
        </is>
      </c>
      <c r="J70" t="inlineStr">
        <is>
          <t>No</t>
        </is>
      </c>
      <c r="K70" t="inlineStr">
        <is>
          <t>No</t>
        </is>
      </c>
      <c r="L70" t="inlineStr">
        <is>
          <t>0</t>
        </is>
      </c>
      <c r="M70" t="inlineStr">
        <is>
          <t>Brisson, Pierre, 1896-1964.</t>
        </is>
      </c>
      <c r="N70" t="inlineStr">
        <is>
          <t>[Paris] : Gallimard, [1942]</t>
        </is>
      </c>
      <c r="O70" t="inlineStr">
        <is>
          <t>1942</t>
        </is>
      </c>
      <c r="Q70" t="inlineStr">
        <is>
          <t>fre</t>
        </is>
      </c>
      <c r="R70" t="inlineStr">
        <is>
          <t xml:space="preserve">fr </t>
        </is>
      </c>
      <c r="T70" t="inlineStr">
        <is>
          <t xml:space="preserve">PQ </t>
        </is>
      </c>
      <c r="U70" t="n">
        <v>7</v>
      </c>
      <c r="V70" t="n">
        <v>7</v>
      </c>
      <c r="W70" t="inlineStr">
        <is>
          <t>1999-01-28</t>
        </is>
      </c>
      <c r="X70" t="inlineStr">
        <is>
          <t>1999-01-28</t>
        </is>
      </c>
      <c r="Y70" t="inlineStr">
        <is>
          <t>1993-05-12</t>
        </is>
      </c>
      <c r="Z70" t="inlineStr">
        <is>
          <t>1993-05-12</t>
        </is>
      </c>
      <c r="AA70" t="n">
        <v>255</v>
      </c>
      <c r="AB70" t="n">
        <v>176</v>
      </c>
      <c r="AC70" t="n">
        <v>255</v>
      </c>
      <c r="AD70" t="n">
        <v>1</v>
      </c>
      <c r="AE70" t="n">
        <v>1</v>
      </c>
      <c r="AF70" t="n">
        <v>13</v>
      </c>
      <c r="AG70" t="n">
        <v>14</v>
      </c>
      <c r="AH70" t="n">
        <v>3</v>
      </c>
      <c r="AI70" t="n">
        <v>3</v>
      </c>
      <c r="AJ70" t="n">
        <v>4</v>
      </c>
      <c r="AK70" t="n">
        <v>4</v>
      </c>
      <c r="AL70" t="n">
        <v>9</v>
      </c>
      <c r="AM70" t="n">
        <v>10</v>
      </c>
      <c r="AN70" t="n">
        <v>0</v>
      </c>
      <c r="AO70" t="n">
        <v>0</v>
      </c>
      <c r="AP70" t="n">
        <v>0</v>
      </c>
      <c r="AQ70" t="n">
        <v>0</v>
      </c>
      <c r="AR70" t="inlineStr">
        <is>
          <t>No</t>
        </is>
      </c>
      <c r="AS70" t="inlineStr">
        <is>
          <t>Yes</t>
        </is>
      </c>
      <c r="AT70">
        <f>HYPERLINK("http://catalog.hathitrust.org/Record/009496370","HathiTrust Record")</f>
        <v/>
      </c>
      <c r="AU70">
        <f>HYPERLINK("https://creighton-primo.hosted.exlibrisgroup.com/primo-explore/search?tab=default_tab&amp;search_scope=EVERYTHING&amp;vid=01CRU&amp;lang=en_US&amp;offset=0&amp;query=any,contains,991004427229702656","Catalog Record")</f>
        <v/>
      </c>
      <c r="AV70">
        <f>HYPERLINK("http://www.worldcat.org/oclc/3406170","WorldCat Record")</f>
        <v/>
      </c>
      <c r="AW70" t="inlineStr">
        <is>
          <t>11957957:fre</t>
        </is>
      </c>
      <c r="AX70" t="inlineStr">
        <is>
          <t>3406170</t>
        </is>
      </c>
      <c r="AY70" t="inlineStr">
        <is>
          <t>991004427229702656</t>
        </is>
      </c>
      <c r="AZ70" t="inlineStr">
        <is>
          <t>991004427229702656</t>
        </is>
      </c>
      <c r="BA70" t="inlineStr">
        <is>
          <t>2261968740002656</t>
        </is>
      </c>
      <c r="BB70" t="inlineStr">
        <is>
          <t>BOOK</t>
        </is>
      </c>
      <c r="BE70" t="inlineStr">
        <is>
          <t>32285001653699</t>
        </is>
      </c>
      <c r="BF70" t="inlineStr">
        <is>
          <t>893513232</t>
        </is>
      </c>
    </row>
    <row r="71">
      <c r="A71" t="inlineStr">
        <is>
          <t>No</t>
        </is>
      </c>
      <c r="B71" t="inlineStr">
        <is>
          <t>CURAL</t>
        </is>
      </c>
      <c r="C71" t="inlineStr">
        <is>
          <t>SHELVES</t>
        </is>
      </c>
      <c r="D71" t="inlineStr">
        <is>
          <t>PQ1876.P3 P74</t>
        </is>
      </c>
      <c r="E71" t="inlineStr">
        <is>
          <t>0                      PQ 1876000P  3                  P  74</t>
        </is>
      </c>
      <c r="F71" t="inlineStr">
        <is>
          <t>The rhetoric of Pascal : a study of his art of persuasion in the 'Provinciales' and the 'Pensées'.</t>
        </is>
      </c>
      <c r="H71" t="inlineStr">
        <is>
          <t>No</t>
        </is>
      </c>
      <c r="I71" t="inlineStr">
        <is>
          <t>1</t>
        </is>
      </c>
      <c r="J71" t="inlineStr">
        <is>
          <t>No</t>
        </is>
      </c>
      <c r="K71" t="inlineStr">
        <is>
          <t>No</t>
        </is>
      </c>
      <c r="L71" t="inlineStr">
        <is>
          <t>0</t>
        </is>
      </c>
      <c r="M71" t="inlineStr">
        <is>
          <t>Topliss, Patricia.</t>
        </is>
      </c>
      <c r="N71" t="inlineStr">
        <is>
          <t>Leicester : Leicester U.P., 1966.</t>
        </is>
      </c>
      <c r="O71" t="inlineStr">
        <is>
          <t>1966</t>
        </is>
      </c>
      <c r="Q71" t="inlineStr">
        <is>
          <t>eng</t>
        </is>
      </c>
      <c r="R71" t="inlineStr">
        <is>
          <t>enk</t>
        </is>
      </c>
      <c r="T71" t="inlineStr">
        <is>
          <t xml:space="preserve">PQ </t>
        </is>
      </c>
      <c r="U71" t="n">
        <v>3</v>
      </c>
      <c r="V71" t="n">
        <v>3</v>
      </c>
      <c r="W71" t="inlineStr">
        <is>
          <t>1998-12-14</t>
        </is>
      </c>
      <c r="X71" t="inlineStr">
        <is>
          <t>1998-12-14</t>
        </is>
      </c>
      <c r="Y71" t="inlineStr">
        <is>
          <t>1990-11-19</t>
        </is>
      </c>
      <c r="Z71" t="inlineStr">
        <is>
          <t>1990-11-19</t>
        </is>
      </c>
      <c r="AA71" t="n">
        <v>553</v>
      </c>
      <c r="AB71" t="n">
        <v>432</v>
      </c>
      <c r="AC71" t="n">
        <v>434</v>
      </c>
      <c r="AD71" t="n">
        <v>4</v>
      </c>
      <c r="AE71" t="n">
        <v>4</v>
      </c>
      <c r="AF71" t="n">
        <v>23</v>
      </c>
      <c r="AG71" t="n">
        <v>23</v>
      </c>
      <c r="AH71" t="n">
        <v>5</v>
      </c>
      <c r="AI71" t="n">
        <v>5</v>
      </c>
      <c r="AJ71" t="n">
        <v>7</v>
      </c>
      <c r="AK71" t="n">
        <v>7</v>
      </c>
      <c r="AL71" t="n">
        <v>13</v>
      </c>
      <c r="AM71" t="n">
        <v>13</v>
      </c>
      <c r="AN71" t="n">
        <v>3</v>
      </c>
      <c r="AO71" t="n">
        <v>3</v>
      </c>
      <c r="AP71" t="n">
        <v>0</v>
      </c>
      <c r="AQ71" t="n">
        <v>0</v>
      </c>
      <c r="AR71" t="inlineStr">
        <is>
          <t>No</t>
        </is>
      </c>
      <c r="AS71" t="inlineStr">
        <is>
          <t>Yes</t>
        </is>
      </c>
      <c r="AT71">
        <f>HYPERLINK("http://catalog.hathitrust.org/Record/001014814","HathiTrust Record")</f>
        <v/>
      </c>
      <c r="AU71">
        <f>HYPERLINK("https://creighton-primo.hosted.exlibrisgroup.com/primo-explore/search?tab=default_tab&amp;search_scope=EVERYTHING&amp;vid=01CRU&amp;lang=en_US&amp;offset=0&amp;query=any,contains,991002691909702656","Catalog Record")</f>
        <v/>
      </c>
      <c r="AV71">
        <f>HYPERLINK("http://www.worldcat.org/oclc/401908","WorldCat Record")</f>
        <v/>
      </c>
      <c r="AW71" t="inlineStr">
        <is>
          <t>197462407:eng</t>
        </is>
      </c>
      <c r="AX71" t="inlineStr">
        <is>
          <t>401908</t>
        </is>
      </c>
      <c r="AY71" t="inlineStr">
        <is>
          <t>991002691909702656</t>
        </is>
      </c>
      <c r="AZ71" t="inlineStr">
        <is>
          <t>991002691909702656</t>
        </is>
      </c>
      <c r="BA71" t="inlineStr">
        <is>
          <t>2268274660002656</t>
        </is>
      </c>
      <c r="BB71" t="inlineStr">
        <is>
          <t>BOOK</t>
        </is>
      </c>
      <c r="BE71" t="inlineStr">
        <is>
          <t>32285000397116</t>
        </is>
      </c>
      <c r="BF71" t="inlineStr">
        <is>
          <t>893251526</t>
        </is>
      </c>
    </row>
    <row r="72">
      <c r="A72" t="inlineStr">
        <is>
          <t>No</t>
        </is>
      </c>
      <c r="B72" t="inlineStr">
        <is>
          <t>CURAL</t>
        </is>
      </c>
      <c r="C72" t="inlineStr">
        <is>
          <t>SHELVES</t>
        </is>
      </c>
      <c r="D72" t="inlineStr">
        <is>
          <t>PQ1877 .B3</t>
        </is>
      </c>
      <c r="E72" t="inlineStr">
        <is>
          <t>0                      PQ 1877000B  3</t>
        </is>
      </c>
      <c r="F72" t="inlineStr">
        <is>
          <t>Charles Perrault / by Jacques Barchilon and Peter Flinders.</t>
        </is>
      </c>
      <c r="H72" t="inlineStr">
        <is>
          <t>No</t>
        </is>
      </c>
      <c r="I72" t="inlineStr">
        <is>
          <t>1</t>
        </is>
      </c>
      <c r="J72" t="inlineStr">
        <is>
          <t>No</t>
        </is>
      </c>
      <c r="K72" t="inlineStr">
        <is>
          <t>No</t>
        </is>
      </c>
      <c r="L72" t="inlineStr">
        <is>
          <t>0</t>
        </is>
      </c>
      <c r="M72" t="inlineStr">
        <is>
          <t>Barchilon, Jacques.</t>
        </is>
      </c>
      <c r="N72" t="inlineStr">
        <is>
          <t>Boston : Twayne Publishers, 1981.</t>
        </is>
      </c>
      <c r="O72" t="inlineStr">
        <is>
          <t>1981</t>
        </is>
      </c>
      <c r="Q72" t="inlineStr">
        <is>
          <t>eng</t>
        </is>
      </c>
      <c r="R72" t="inlineStr">
        <is>
          <t>mau</t>
        </is>
      </c>
      <c r="S72" t="inlineStr">
        <is>
          <t>Twayne's world authors series ; TWAS 639. France</t>
        </is>
      </c>
      <c r="T72" t="inlineStr">
        <is>
          <t xml:space="preserve">PQ </t>
        </is>
      </c>
      <c r="U72" t="n">
        <v>2</v>
      </c>
      <c r="V72" t="n">
        <v>2</v>
      </c>
      <c r="W72" t="inlineStr">
        <is>
          <t>2004-02-04</t>
        </is>
      </c>
      <c r="X72" t="inlineStr">
        <is>
          <t>2004-02-04</t>
        </is>
      </c>
      <c r="Y72" t="inlineStr">
        <is>
          <t>1991-05-07</t>
        </is>
      </c>
      <c r="Z72" t="inlineStr">
        <is>
          <t>1991-05-07</t>
        </is>
      </c>
      <c r="AA72" t="n">
        <v>465</v>
      </c>
      <c r="AB72" t="n">
        <v>396</v>
      </c>
      <c r="AC72" t="n">
        <v>405</v>
      </c>
      <c r="AD72" t="n">
        <v>3</v>
      </c>
      <c r="AE72" t="n">
        <v>3</v>
      </c>
      <c r="AF72" t="n">
        <v>15</v>
      </c>
      <c r="AG72" t="n">
        <v>15</v>
      </c>
      <c r="AH72" t="n">
        <v>5</v>
      </c>
      <c r="AI72" t="n">
        <v>5</v>
      </c>
      <c r="AJ72" t="n">
        <v>3</v>
      </c>
      <c r="AK72" t="n">
        <v>3</v>
      </c>
      <c r="AL72" t="n">
        <v>10</v>
      </c>
      <c r="AM72" t="n">
        <v>10</v>
      </c>
      <c r="AN72" t="n">
        <v>2</v>
      </c>
      <c r="AO72" t="n">
        <v>2</v>
      </c>
      <c r="AP72" t="n">
        <v>0</v>
      </c>
      <c r="AQ72" t="n">
        <v>0</v>
      </c>
      <c r="AR72" t="inlineStr">
        <is>
          <t>No</t>
        </is>
      </c>
      <c r="AS72" t="inlineStr">
        <is>
          <t>Yes</t>
        </is>
      </c>
      <c r="AT72">
        <f>HYPERLINK("http://catalog.hathitrust.org/Record/000184077","HathiTrust Record")</f>
        <v/>
      </c>
      <c r="AU72">
        <f>HYPERLINK("https://creighton-primo.hosted.exlibrisgroup.com/primo-explore/search?tab=default_tab&amp;search_scope=EVERYTHING&amp;vid=01CRU&amp;lang=en_US&amp;offset=0&amp;query=any,contains,991005126199702656","Catalog Record")</f>
        <v/>
      </c>
      <c r="AV72">
        <f>HYPERLINK("http://www.worldcat.org/oclc/7553740","WorldCat Record")</f>
        <v/>
      </c>
      <c r="AW72" t="inlineStr">
        <is>
          <t>28562891:eng</t>
        </is>
      </c>
      <c r="AX72" t="inlineStr">
        <is>
          <t>7553740</t>
        </is>
      </c>
      <c r="AY72" t="inlineStr">
        <is>
          <t>991005126199702656</t>
        </is>
      </c>
      <c r="AZ72" t="inlineStr">
        <is>
          <t>991005126199702656</t>
        </is>
      </c>
      <c r="BA72" t="inlineStr">
        <is>
          <t>2265119010002656</t>
        </is>
      </c>
      <c r="BB72" t="inlineStr">
        <is>
          <t>BOOK</t>
        </is>
      </c>
      <c r="BD72" t="inlineStr">
        <is>
          <t>9780805764833</t>
        </is>
      </c>
      <c r="BE72" t="inlineStr">
        <is>
          <t>32285000601558</t>
        </is>
      </c>
      <c r="BF72" t="inlineStr">
        <is>
          <t>893713481</t>
        </is>
      </c>
    </row>
    <row r="73">
      <c r="A73" t="inlineStr">
        <is>
          <t>No</t>
        </is>
      </c>
      <c r="B73" t="inlineStr">
        <is>
          <t>CURAL</t>
        </is>
      </c>
      <c r="C73" t="inlineStr">
        <is>
          <t>SHELVES</t>
        </is>
      </c>
      <c r="D73" t="inlineStr">
        <is>
          <t>PQ1898 .D4 1978</t>
        </is>
      </c>
      <c r="E73" t="inlineStr">
        <is>
          <t>0                      PQ 1898000D  4           1978</t>
        </is>
      </c>
      <c r="F73" t="inlineStr">
        <is>
          <t>Racine et sa "Phèdre" / Charles Dédéyan, ....</t>
        </is>
      </c>
      <c r="H73" t="inlineStr">
        <is>
          <t>No</t>
        </is>
      </c>
      <c r="I73" t="inlineStr">
        <is>
          <t>1</t>
        </is>
      </c>
      <c r="J73" t="inlineStr">
        <is>
          <t>No</t>
        </is>
      </c>
      <c r="K73" t="inlineStr">
        <is>
          <t>No</t>
        </is>
      </c>
      <c r="L73" t="inlineStr">
        <is>
          <t>0</t>
        </is>
      </c>
      <c r="M73" t="inlineStr">
        <is>
          <t>Dédéyan, Charles.</t>
        </is>
      </c>
      <c r="N73" t="inlineStr">
        <is>
          <t>Paris : Société d'édition d'enseignement supérieur, 1978.</t>
        </is>
      </c>
      <c r="O73" t="inlineStr">
        <is>
          <t>1978</t>
        </is>
      </c>
      <c r="P73" t="inlineStr">
        <is>
          <t>2e éd. revue et mise à jour.</t>
        </is>
      </c>
      <c r="Q73" t="inlineStr">
        <is>
          <t>fre</t>
        </is>
      </c>
      <c r="R73" t="inlineStr">
        <is>
          <t xml:space="preserve">fr </t>
        </is>
      </c>
      <c r="S73" t="inlineStr">
        <is>
          <t>Collection Littérature</t>
        </is>
      </c>
      <c r="T73" t="inlineStr">
        <is>
          <t xml:space="preserve">PQ </t>
        </is>
      </c>
      <c r="U73" t="n">
        <v>4</v>
      </c>
      <c r="V73" t="n">
        <v>4</v>
      </c>
      <c r="W73" t="inlineStr">
        <is>
          <t>1993-11-16</t>
        </is>
      </c>
      <c r="X73" t="inlineStr">
        <is>
          <t>1993-11-16</t>
        </is>
      </c>
      <c r="Y73" t="inlineStr">
        <is>
          <t>1991-05-07</t>
        </is>
      </c>
      <c r="Z73" t="inlineStr">
        <is>
          <t>1991-05-07</t>
        </is>
      </c>
      <c r="AA73" t="n">
        <v>152</v>
      </c>
      <c r="AB73" t="n">
        <v>99</v>
      </c>
      <c r="AC73" t="n">
        <v>303</v>
      </c>
      <c r="AD73" t="n">
        <v>1</v>
      </c>
      <c r="AE73" t="n">
        <v>3</v>
      </c>
      <c r="AF73" t="n">
        <v>6</v>
      </c>
      <c r="AG73" t="n">
        <v>14</v>
      </c>
      <c r="AH73" t="n">
        <v>2</v>
      </c>
      <c r="AI73" t="n">
        <v>5</v>
      </c>
      <c r="AJ73" t="n">
        <v>2</v>
      </c>
      <c r="AK73" t="n">
        <v>3</v>
      </c>
      <c r="AL73" t="n">
        <v>3</v>
      </c>
      <c r="AM73" t="n">
        <v>9</v>
      </c>
      <c r="AN73" t="n">
        <v>0</v>
      </c>
      <c r="AO73" t="n">
        <v>2</v>
      </c>
      <c r="AP73" t="n">
        <v>0</v>
      </c>
      <c r="AQ73" t="n">
        <v>0</v>
      </c>
      <c r="AR73" t="inlineStr">
        <is>
          <t>No</t>
        </is>
      </c>
      <c r="AS73" t="inlineStr">
        <is>
          <t>No</t>
        </is>
      </c>
      <c r="AU73">
        <f>HYPERLINK("https://creighton-primo.hosted.exlibrisgroup.com/primo-explore/search?tab=default_tab&amp;search_scope=EVERYTHING&amp;vid=01CRU&amp;lang=en_US&amp;offset=0&amp;query=any,contains,991004742739702656","Catalog Record")</f>
        <v/>
      </c>
      <c r="AV73">
        <f>HYPERLINK("http://www.worldcat.org/oclc/4887301","WorldCat Record")</f>
        <v/>
      </c>
      <c r="AW73" t="inlineStr">
        <is>
          <t>1470456:fre</t>
        </is>
      </c>
      <c r="AX73" t="inlineStr">
        <is>
          <t>4887301</t>
        </is>
      </c>
      <c r="AY73" t="inlineStr">
        <is>
          <t>991004742739702656</t>
        </is>
      </c>
      <c r="AZ73" t="inlineStr">
        <is>
          <t>991004742739702656</t>
        </is>
      </c>
      <c r="BA73" t="inlineStr">
        <is>
          <t>2261654740002656</t>
        </is>
      </c>
      <c r="BB73" t="inlineStr">
        <is>
          <t>BOOK</t>
        </is>
      </c>
      <c r="BD73" t="inlineStr">
        <is>
          <t>9782718103280</t>
        </is>
      </c>
      <c r="BE73" t="inlineStr">
        <is>
          <t>32285000601574</t>
        </is>
      </c>
      <c r="BF73" t="inlineStr">
        <is>
          <t>893876527</t>
        </is>
      </c>
    </row>
    <row r="74">
      <c r="A74" t="inlineStr">
        <is>
          <t>No</t>
        </is>
      </c>
      <c r="B74" t="inlineStr">
        <is>
          <t>CURAL</t>
        </is>
      </c>
      <c r="C74" t="inlineStr">
        <is>
          <t>SHELVES</t>
        </is>
      </c>
      <c r="D74" t="inlineStr">
        <is>
          <t>PQ1904 .B65</t>
        </is>
      </c>
      <c r="E74" t="inlineStr">
        <is>
          <t>0                      PQ 1904000B  65</t>
        </is>
      </c>
      <c r="F74" t="inlineStr">
        <is>
          <t>Racine / Clément Borgal.</t>
        </is>
      </c>
      <c r="H74" t="inlineStr">
        <is>
          <t>No</t>
        </is>
      </c>
      <c r="I74" t="inlineStr">
        <is>
          <t>1</t>
        </is>
      </c>
      <c r="J74" t="inlineStr">
        <is>
          <t>No</t>
        </is>
      </c>
      <c r="K74" t="inlineStr">
        <is>
          <t>No</t>
        </is>
      </c>
      <c r="L74" t="inlineStr">
        <is>
          <t>0</t>
        </is>
      </c>
      <c r="M74" t="inlineStr">
        <is>
          <t>Borgal, Clément.</t>
        </is>
      </c>
      <c r="N74" t="inlineStr">
        <is>
          <t>Paris, Éditions universitaires [1974]</t>
        </is>
      </c>
      <c r="O74" t="inlineStr">
        <is>
          <t>1974</t>
        </is>
      </c>
      <c r="Q74" t="inlineStr">
        <is>
          <t>fre</t>
        </is>
      </c>
      <c r="R74" t="inlineStr">
        <is>
          <t xml:space="preserve">fr </t>
        </is>
      </c>
      <c r="S74" t="inlineStr">
        <is>
          <t>Classiques du XXe siècle ; 117</t>
        </is>
      </c>
      <c r="T74" t="inlineStr">
        <is>
          <t xml:space="preserve">PQ </t>
        </is>
      </c>
      <c r="U74" t="n">
        <v>2</v>
      </c>
      <c r="V74" t="n">
        <v>2</v>
      </c>
      <c r="W74" t="inlineStr">
        <is>
          <t>2004-02-03</t>
        </is>
      </c>
      <c r="X74" t="inlineStr">
        <is>
          <t>2004-02-03</t>
        </is>
      </c>
      <c r="Y74" t="inlineStr">
        <is>
          <t>1991-05-07</t>
        </is>
      </c>
      <c r="Z74" t="inlineStr">
        <is>
          <t>1991-05-07</t>
        </is>
      </c>
      <c r="AA74" t="n">
        <v>132</v>
      </c>
      <c r="AB74" t="n">
        <v>84</v>
      </c>
      <c r="AC74" t="n">
        <v>84</v>
      </c>
      <c r="AD74" t="n">
        <v>3</v>
      </c>
      <c r="AE74" t="n">
        <v>3</v>
      </c>
      <c r="AF74" t="n">
        <v>7</v>
      </c>
      <c r="AG74" t="n">
        <v>7</v>
      </c>
      <c r="AH74" t="n">
        <v>0</v>
      </c>
      <c r="AI74" t="n">
        <v>0</v>
      </c>
      <c r="AJ74" t="n">
        <v>2</v>
      </c>
      <c r="AK74" t="n">
        <v>2</v>
      </c>
      <c r="AL74" t="n">
        <v>4</v>
      </c>
      <c r="AM74" t="n">
        <v>4</v>
      </c>
      <c r="AN74" t="n">
        <v>2</v>
      </c>
      <c r="AO74" t="n">
        <v>2</v>
      </c>
      <c r="AP74" t="n">
        <v>0</v>
      </c>
      <c r="AQ74" t="n">
        <v>0</v>
      </c>
      <c r="AR74" t="inlineStr">
        <is>
          <t>No</t>
        </is>
      </c>
      <c r="AS74" t="inlineStr">
        <is>
          <t>No</t>
        </is>
      </c>
      <c r="AU74">
        <f>HYPERLINK("https://creighton-primo.hosted.exlibrisgroup.com/primo-explore/search?tab=default_tab&amp;search_scope=EVERYTHING&amp;vid=01CRU&amp;lang=en_US&amp;offset=0&amp;query=any,contains,991003699439702656","Catalog Record")</f>
        <v/>
      </c>
      <c r="AV74">
        <f>HYPERLINK("http://www.worldcat.org/oclc/1039156","WorldCat Record")</f>
        <v/>
      </c>
      <c r="AW74" t="inlineStr">
        <is>
          <t>2002458:fre</t>
        </is>
      </c>
      <c r="AX74" t="inlineStr">
        <is>
          <t>1039156</t>
        </is>
      </c>
      <c r="AY74" t="inlineStr">
        <is>
          <t>991003699439702656</t>
        </is>
      </c>
      <c r="AZ74" t="inlineStr">
        <is>
          <t>991003699439702656</t>
        </is>
      </c>
      <c r="BA74" t="inlineStr">
        <is>
          <t>2258563280002656</t>
        </is>
      </c>
      <c r="BB74" t="inlineStr">
        <is>
          <t>BOOK</t>
        </is>
      </c>
      <c r="BE74" t="inlineStr">
        <is>
          <t>32285000601582</t>
        </is>
      </c>
      <c r="BF74" t="inlineStr">
        <is>
          <t>893318291</t>
        </is>
      </c>
    </row>
    <row r="75">
      <c r="A75" t="inlineStr">
        <is>
          <t>No</t>
        </is>
      </c>
      <c r="B75" t="inlineStr">
        <is>
          <t>CURAL</t>
        </is>
      </c>
      <c r="C75" t="inlineStr">
        <is>
          <t>SHELVES</t>
        </is>
      </c>
      <c r="D75" t="inlineStr">
        <is>
          <t>PQ1904 .B67</t>
        </is>
      </c>
      <c r="E75" t="inlineStr">
        <is>
          <t>0                      PQ 1904000B  67</t>
        </is>
      </c>
      <c r="F75" t="inlineStr">
        <is>
          <t>Jean Racine : a critical biography.</t>
        </is>
      </c>
      <c r="H75" t="inlineStr">
        <is>
          <t>No</t>
        </is>
      </c>
      <c r="I75" t="inlineStr">
        <is>
          <t>1</t>
        </is>
      </c>
      <c r="J75" t="inlineStr">
        <is>
          <t>No</t>
        </is>
      </c>
      <c r="K75" t="inlineStr">
        <is>
          <t>No</t>
        </is>
      </c>
      <c r="L75" t="inlineStr">
        <is>
          <t>0</t>
        </is>
      </c>
      <c r="M75" t="inlineStr">
        <is>
          <t>Brereton, Geoffrey.</t>
        </is>
      </c>
      <c r="N75" t="inlineStr">
        <is>
          <t>London : Cassell, [1951]</t>
        </is>
      </c>
      <c r="O75" t="inlineStr">
        <is>
          <t>1951</t>
        </is>
      </c>
      <c r="Q75" t="inlineStr">
        <is>
          <t>eng</t>
        </is>
      </c>
      <c r="R75" t="inlineStr">
        <is>
          <t>enk</t>
        </is>
      </c>
      <c r="T75" t="inlineStr">
        <is>
          <t xml:space="preserve">PQ </t>
        </is>
      </c>
      <c r="U75" t="n">
        <v>1</v>
      </c>
      <c r="V75" t="n">
        <v>1</v>
      </c>
      <c r="W75" t="inlineStr">
        <is>
          <t>2004-02-03</t>
        </is>
      </c>
      <c r="X75" t="inlineStr">
        <is>
          <t>2004-02-03</t>
        </is>
      </c>
      <c r="Y75" t="inlineStr">
        <is>
          <t>1994-02-08</t>
        </is>
      </c>
      <c r="Z75" t="inlineStr">
        <is>
          <t>1994-02-08</t>
        </is>
      </c>
      <c r="AA75" t="n">
        <v>414</v>
      </c>
      <c r="AB75" t="n">
        <v>325</v>
      </c>
      <c r="AC75" t="n">
        <v>445</v>
      </c>
      <c r="AD75" t="n">
        <v>4</v>
      </c>
      <c r="AE75" t="n">
        <v>5</v>
      </c>
      <c r="AF75" t="n">
        <v>25</v>
      </c>
      <c r="AG75" t="n">
        <v>30</v>
      </c>
      <c r="AH75" t="n">
        <v>9</v>
      </c>
      <c r="AI75" t="n">
        <v>10</v>
      </c>
      <c r="AJ75" t="n">
        <v>6</v>
      </c>
      <c r="AK75" t="n">
        <v>7</v>
      </c>
      <c r="AL75" t="n">
        <v>14</v>
      </c>
      <c r="AM75" t="n">
        <v>17</v>
      </c>
      <c r="AN75" t="n">
        <v>2</v>
      </c>
      <c r="AO75" t="n">
        <v>3</v>
      </c>
      <c r="AP75" t="n">
        <v>0</v>
      </c>
      <c r="AQ75" t="n">
        <v>0</v>
      </c>
      <c r="AR75" t="inlineStr">
        <is>
          <t>No</t>
        </is>
      </c>
      <c r="AS75" t="inlineStr">
        <is>
          <t>Yes</t>
        </is>
      </c>
      <c r="AT75">
        <f>HYPERLINK("http://catalog.hathitrust.org/Record/001215152","HathiTrust Record")</f>
        <v/>
      </c>
      <c r="AU75">
        <f>HYPERLINK("https://creighton-primo.hosted.exlibrisgroup.com/primo-explore/search?tab=default_tab&amp;search_scope=EVERYTHING&amp;vid=01CRU&amp;lang=en_US&amp;offset=0&amp;query=any,contains,991003252869702656","Catalog Record")</f>
        <v/>
      </c>
      <c r="AV75">
        <f>HYPERLINK("http://www.worldcat.org/oclc/777567","WorldCat Record")</f>
        <v/>
      </c>
      <c r="AW75" t="inlineStr">
        <is>
          <t>504178656:eng</t>
        </is>
      </c>
      <c r="AX75" t="inlineStr">
        <is>
          <t>777567</t>
        </is>
      </c>
      <c r="AY75" t="inlineStr">
        <is>
          <t>991003252869702656</t>
        </is>
      </c>
      <c r="AZ75" t="inlineStr">
        <is>
          <t>991003252869702656</t>
        </is>
      </c>
      <c r="BA75" t="inlineStr">
        <is>
          <t>2268028220002656</t>
        </is>
      </c>
      <c r="BB75" t="inlineStr">
        <is>
          <t>BOOK</t>
        </is>
      </c>
      <c r="BE75" t="inlineStr">
        <is>
          <t>32285001837524</t>
        </is>
      </c>
      <c r="BF75" t="inlineStr">
        <is>
          <t>893227865</t>
        </is>
      </c>
    </row>
    <row r="76">
      <c r="A76" t="inlineStr">
        <is>
          <t>No</t>
        </is>
      </c>
      <c r="B76" t="inlineStr">
        <is>
          <t>CURAL</t>
        </is>
      </c>
      <c r="C76" t="inlineStr">
        <is>
          <t>SHELVES</t>
        </is>
      </c>
      <c r="D76" t="inlineStr">
        <is>
          <t>PQ1905 .W4</t>
        </is>
      </c>
      <c r="E76" t="inlineStr">
        <is>
          <t>0                      PQ 1905000W  4</t>
        </is>
      </c>
      <c r="F76" t="inlineStr">
        <is>
          <t>The art of Jean Racine.</t>
        </is>
      </c>
      <c r="H76" t="inlineStr">
        <is>
          <t>No</t>
        </is>
      </c>
      <c r="I76" t="inlineStr">
        <is>
          <t>1</t>
        </is>
      </c>
      <c r="J76" t="inlineStr">
        <is>
          <t>No</t>
        </is>
      </c>
      <c r="K76" t="inlineStr">
        <is>
          <t>No</t>
        </is>
      </c>
      <c r="L76" t="inlineStr">
        <is>
          <t>0</t>
        </is>
      </c>
      <c r="M76" t="inlineStr">
        <is>
          <t>Weinberg, Bernard, 1909-1973.</t>
        </is>
      </c>
      <c r="N76" t="inlineStr">
        <is>
          <t>Chicago : University of Chicago Press, 1969, c1963.</t>
        </is>
      </c>
      <c r="O76" t="inlineStr">
        <is>
          <t>1969</t>
        </is>
      </c>
      <c r="P76" t="inlineStr">
        <is>
          <t>1st Phoenix ed.</t>
        </is>
      </c>
      <c r="Q76" t="inlineStr">
        <is>
          <t>eng</t>
        </is>
      </c>
      <c r="R76" t="inlineStr">
        <is>
          <t>ilu</t>
        </is>
      </c>
      <c r="S76" t="inlineStr">
        <is>
          <t>Phoenix books ; 339</t>
        </is>
      </c>
      <c r="T76" t="inlineStr">
        <is>
          <t xml:space="preserve">PQ </t>
        </is>
      </c>
      <c r="U76" t="n">
        <v>5</v>
      </c>
      <c r="V76" t="n">
        <v>5</v>
      </c>
      <c r="W76" t="inlineStr">
        <is>
          <t>1995-02-06</t>
        </is>
      </c>
      <c r="X76" t="inlineStr">
        <is>
          <t>1995-02-06</t>
        </is>
      </c>
      <c r="Y76" t="inlineStr">
        <is>
          <t>1992-11-07</t>
        </is>
      </c>
      <c r="Z76" t="inlineStr">
        <is>
          <t>1992-11-07</t>
        </is>
      </c>
      <c r="AA76" t="n">
        <v>79</v>
      </c>
      <c r="AB76" t="n">
        <v>53</v>
      </c>
      <c r="AC76" t="n">
        <v>866</v>
      </c>
      <c r="AD76" t="n">
        <v>1</v>
      </c>
      <c r="AE76" t="n">
        <v>8</v>
      </c>
      <c r="AF76" t="n">
        <v>2</v>
      </c>
      <c r="AG76" t="n">
        <v>43</v>
      </c>
      <c r="AH76" t="n">
        <v>1</v>
      </c>
      <c r="AI76" t="n">
        <v>15</v>
      </c>
      <c r="AJ76" t="n">
        <v>1</v>
      </c>
      <c r="AK76" t="n">
        <v>11</v>
      </c>
      <c r="AL76" t="n">
        <v>0</v>
      </c>
      <c r="AM76" t="n">
        <v>21</v>
      </c>
      <c r="AN76" t="n">
        <v>0</v>
      </c>
      <c r="AO76" t="n">
        <v>7</v>
      </c>
      <c r="AP76" t="n">
        <v>0</v>
      </c>
      <c r="AQ76" t="n">
        <v>0</v>
      </c>
      <c r="AR76" t="inlineStr">
        <is>
          <t>No</t>
        </is>
      </c>
      <c r="AS76" t="inlineStr">
        <is>
          <t>No</t>
        </is>
      </c>
      <c r="AU76">
        <f>HYPERLINK("https://creighton-primo.hosted.exlibrisgroup.com/primo-explore/search?tab=default_tab&amp;search_scope=EVERYTHING&amp;vid=01CRU&amp;lang=en_US&amp;offset=0&amp;query=any,contains,991000732349702656","Catalog Record")</f>
        <v/>
      </c>
      <c r="AV76">
        <f>HYPERLINK("http://www.worldcat.org/oclc/12742453","WorldCat Record")</f>
        <v/>
      </c>
      <c r="AW76" t="inlineStr">
        <is>
          <t>419513:eng</t>
        </is>
      </c>
      <c r="AX76" t="inlineStr">
        <is>
          <t>12742453</t>
        </is>
      </c>
      <c r="AY76" t="inlineStr">
        <is>
          <t>991000732349702656</t>
        </is>
      </c>
      <c r="AZ76" t="inlineStr">
        <is>
          <t>991000732349702656</t>
        </is>
      </c>
      <c r="BA76" t="inlineStr">
        <is>
          <t>2266342260002656</t>
        </is>
      </c>
      <c r="BB76" t="inlineStr">
        <is>
          <t>BOOK</t>
        </is>
      </c>
      <c r="BE76" t="inlineStr">
        <is>
          <t>32285001383297</t>
        </is>
      </c>
      <c r="BF76" t="inlineStr">
        <is>
          <t>893620744</t>
        </is>
      </c>
    </row>
    <row r="77">
      <c r="A77" t="inlineStr">
        <is>
          <t>No</t>
        </is>
      </c>
      <c r="B77" t="inlineStr">
        <is>
          <t>CURAL</t>
        </is>
      </c>
      <c r="C77" t="inlineStr">
        <is>
          <t>SHELVES</t>
        </is>
      </c>
      <c r="D77" t="inlineStr">
        <is>
          <t>PQ1908.T7 W5</t>
        </is>
      </c>
      <c r="E77" t="inlineStr">
        <is>
          <t>0                      PQ 1908000T  7                  W  5</t>
        </is>
      </c>
      <c r="F77" t="inlineStr">
        <is>
          <t>Racine and English classicism.</t>
        </is>
      </c>
      <c r="H77" t="inlineStr">
        <is>
          <t>No</t>
        </is>
      </c>
      <c r="I77" t="inlineStr">
        <is>
          <t>1</t>
        </is>
      </c>
      <c r="J77" t="inlineStr">
        <is>
          <t>No</t>
        </is>
      </c>
      <c r="K77" t="inlineStr">
        <is>
          <t>No</t>
        </is>
      </c>
      <c r="L77" t="inlineStr">
        <is>
          <t>0</t>
        </is>
      </c>
      <c r="M77" t="inlineStr">
        <is>
          <t>Wheatley, Katherine Ernestine.</t>
        </is>
      </c>
      <c r="N77" t="inlineStr">
        <is>
          <t>Austin : University of Texas Press, 1956.</t>
        </is>
      </c>
      <c r="O77" t="inlineStr">
        <is>
          <t>1956</t>
        </is>
      </c>
      <c r="Q77" t="inlineStr">
        <is>
          <t>eng</t>
        </is>
      </c>
      <c r="R77" t="inlineStr">
        <is>
          <t>txu</t>
        </is>
      </c>
      <c r="T77" t="inlineStr">
        <is>
          <t xml:space="preserve">PQ </t>
        </is>
      </c>
      <c r="U77" t="n">
        <v>5</v>
      </c>
      <c r="V77" t="n">
        <v>5</v>
      </c>
      <c r="W77" t="inlineStr">
        <is>
          <t>1999-10-06</t>
        </is>
      </c>
      <c r="X77" t="inlineStr">
        <is>
          <t>1999-10-06</t>
        </is>
      </c>
      <c r="Y77" t="inlineStr">
        <is>
          <t>1993-04-06</t>
        </is>
      </c>
      <c r="Z77" t="inlineStr">
        <is>
          <t>1993-04-06</t>
        </is>
      </c>
      <c r="AA77" t="n">
        <v>463</v>
      </c>
      <c r="AB77" t="n">
        <v>399</v>
      </c>
      <c r="AC77" t="n">
        <v>492</v>
      </c>
      <c r="AD77" t="n">
        <v>3</v>
      </c>
      <c r="AE77" t="n">
        <v>4</v>
      </c>
      <c r="AF77" t="n">
        <v>29</v>
      </c>
      <c r="AG77" t="n">
        <v>33</v>
      </c>
      <c r="AH77" t="n">
        <v>11</v>
      </c>
      <c r="AI77" t="n">
        <v>13</v>
      </c>
      <c r="AJ77" t="n">
        <v>8</v>
      </c>
      <c r="AK77" t="n">
        <v>9</v>
      </c>
      <c r="AL77" t="n">
        <v>16</v>
      </c>
      <c r="AM77" t="n">
        <v>17</v>
      </c>
      <c r="AN77" t="n">
        <v>2</v>
      </c>
      <c r="AO77" t="n">
        <v>3</v>
      </c>
      <c r="AP77" t="n">
        <v>0</v>
      </c>
      <c r="AQ77" t="n">
        <v>0</v>
      </c>
      <c r="AR77" t="inlineStr">
        <is>
          <t>No</t>
        </is>
      </c>
      <c r="AS77" t="inlineStr">
        <is>
          <t>No</t>
        </is>
      </c>
      <c r="AU77">
        <f>HYPERLINK("https://creighton-primo.hosted.exlibrisgroup.com/primo-explore/search?tab=default_tab&amp;search_scope=EVERYTHING&amp;vid=01CRU&amp;lang=en_US&amp;offset=0&amp;query=any,contains,991002415559702656","Catalog Record")</f>
        <v/>
      </c>
      <c r="AV77">
        <f>HYPERLINK("http://www.worldcat.org/oclc/341654","WorldCat Record")</f>
        <v/>
      </c>
      <c r="AW77" t="inlineStr">
        <is>
          <t>912888:eng</t>
        </is>
      </c>
      <c r="AX77" t="inlineStr">
        <is>
          <t>341654</t>
        </is>
      </c>
      <c r="AY77" t="inlineStr">
        <is>
          <t>991002415559702656</t>
        </is>
      </c>
      <c r="AZ77" t="inlineStr">
        <is>
          <t>991002415559702656</t>
        </is>
      </c>
      <c r="BA77" t="inlineStr">
        <is>
          <t>2265663630002656</t>
        </is>
      </c>
      <c r="BB77" t="inlineStr">
        <is>
          <t>BOOK</t>
        </is>
      </c>
      <c r="BE77" t="inlineStr">
        <is>
          <t>32285001602456</t>
        </is>
      </c>
      <c r="BF77" t="inlineStr">
        <is>
          <t>893329051</t>
        </is>
      </c>
    </row>
    <row r="78">
      <c r="A78" t="inlineStr">
        <is>
          <t>No</t>
        </is>
      </c>
      <c r="B78" t="inlineStr">
        <is>
          <t>CURAL</t>
        </is>
      </c>
      <c r="C78" t="inlineStr">
        <is>
          <t>SHELVES</t>
        </is>
      </c>
      <c r="D78" t="inlineStr">
        <is>
          <t>PQ1925 .O33 1990</t>
        </is>
      </c>
      <c r="E78" t="inlineStr">
        <is>
          <t>0                      PQ 1925000O  33          1990</t>
        </is>
      </c>
      <c r="F78" t="inlineStr">
        <is>
          <t>Madame de Sévigné : a seventeenth-century life / Jeanne A. Ojala and William T. Ojala.</t>
        </is>
      </c>
      <c r="H78" t="inlineStr">
        <is>
          <t>No</t>
        </is>
      </c>
      <c r="I78" t="inlineStr">
        <is>
          <t>1</t>
        </is>
      </c>
      <c r="J78" t="inlineStr">
        <is>
          <t>No</t>
        </is>
      </c>
      <c r="K78" t="inlineStr">
        <is>
          <t>No</t>
        </is>
      </c>
      <c r="L78" t="inlineStr">
        <is>
          <t>0</t>
        </is>
      </c>
      <c r="M78" t="inlineStr">
        <is>
          <t>Ojala, Jeanne A.</t>
        </is>
      </c>
      <c r="N78" t="inlineStr">
        <is>
          <t>Oxford [England] ; New York : Berg ; New York : Distributed exclusively in the US and Canada by St. Martin's Press, 1990.</t>
        </is>
      </c>
      <c r="O78" t="inlineStr">
        <is>
          <t>1990</t>
        </is>
      </c>
      <c r="Q78" t="inlineStr">
        <is>
          <t>eng</t>
        </is>
      </c>
      <c r="R78" t="inlineStr">
        <is>
          <t>enk</t>
        </is>
      </c>
      <c r="S78" t="inlineStr">
        <is>
          <t>Berg women's series</t>
        </is>
      </c>
      <c r="T78" t="inlineStr">
        <is>
          <t xml:space="preserve">PQ </t>
        </is>
      </c>
      <c r="U78" t="n">
        <v>2</v>
      </c>
      <c r="V78" t="n">
        <v>2</v>
      </c>
      <c r="W78" t="inlineStr">
        <is>
          <t>1996-02-21</t>
        </is>
      </c>
      <c r="X78" t="inlineStr">
        <is>
          <t>1996-02-21</t>
        </is>
      </c>
      <c r="Y78" t="inlineStr">
        <is>
          <t>1991-03-11</t>
        </is>
      </c>
      <c r="Z78" t="inlineStr">
        <is>
          <t>1991-03-11</t>
        </is>
      </c>
      <c r="AA78" t="n">
        <v>288</v>
      </c>
      <c r="AB78" t="n">
        <v>239</v>
      </c>
      <c r="AC78" t="n">
        <v>266</v>
      </c>
      <c r="AD78" t="n">
        <v>3</v>
      </c>
      <c r="AE78" t="n">
        <v>3</v>
      </c>
      <c r="AF78" t="n">
        <v>14</v>
      </c>
      <c r="AG78" t="n">
        <v>14</v>
      </c>
      <c r="AH78" t="n">
        <v>1</v>
      </c>
      <c r="AI78" t="n">
        <v>1</v>
      </c>
      <c r="AJ78" t="n">
        <v>5</v>
      </c>
      <c r="AK78" t="n">
        <v>5</v>
      </c>
      <c r="AL78" t="n">
        <v>10</v>
      </c>
      <c r="AM78" t="n">
        <v>10</v>
      </c>
      <c r="AN78" t="n">
        <v>2</v>
      </c>
      <c r="AO78" t="n">
        <v>2</v>
      </c>
      <c r="AP78" t="n">
        <v>0</v>
      </c>
      <c r="AQ78" t="n">
        <v>0</v>
      </c>
      <c r="AR78" t="inlineStr">
        <is>
          <t>No</t>
        </is>
      </c>
      <c r="AS78" t="inlineStr">
        <is>
          <t>Yes</t>
        </is>
      </c>
      <c r="AT78">
        <f>HYPERLINK("http://catalog.hathitrust.org/Record/007108373","HathiTrust Record")</f>
        <v/>
      </c>
      <c r="AU78">
        <f>HYPERLINK("https://creighton-primo.hosted.exlibrisgroup.com/primo-explore/search?tab=default_tab&amp;search_scope=EVERYTHING&amp;vid=01CRU&amp;lang=en_US&amp;offset=0&amp;query=any,contains,991001557489702656","Catalog Record")</f>
        <v/>
      </c>
      <c r="AV78">
        <f>HYPERLINK("http://www.worldcat.org/oclc/20294513","WorldCat Record")</f>
        <v/>
      </c>
      <c r="AW78" t="inlineStr">
        <is>
          <t>22259807:eng</t>
        </is>
      </c>
      <c r="AX78" t="inlineStr">
        <is>
          <t>20294513</t>
        </is>
      </c>
      <c r="AY78" t="inlineStr">
        <is>
          <t>991001557489702656</t>
        </is>
      </c>
      <c r="AZ78" t="inlineStr">
        <is>
          <t>991001557489702656</t>
        </is>
      </c>
      <c r="BA78" t="inlineStr">
        <is>
          <t>2266244520002656</t>
        </is>
      </c>
      <c r="BB78" t="inlineStr">
        <is>
          <t>BOOK</t>
        </is>
      </c>
      <c r="BD78" t="inlineStr">
        <is>
          <t>9780854961696</t>
        </is>
      </c>
      <c r="BE78" t="inlineStr">
        <is>
          <t>32285000511369</t>
        </is>
      </c>
      <c r="BF78" t="inlineStr">
        <is>
          <t>893256307</t>
        </is>
      </c>
    </row>
    <row r="79">
      <c r="A79" t="inlineStr">
        <is>
          <t>No</t>
        </is>
      </c>
      <c r="B79" t="inlineStr">
        <is>
          <t>CURAL</t>
        </is>
      </c>
      <c r="C79" t="inlineStr">
        <is>
          <t>SHELVES</t>
        </is>
      </c>
      <c r="D79" t="inlineStr">
        <is>
          <t>PQ1956 .A7 1934</t>
        </is>
      </c>
      <c r="E79" t="inlineStr">
        <is>
          <t>0                      PQ 1956000A  7           1934</t>
        </is>
      </c>
      <c r="F79" t="inlineStr">
        <is>
          <t>Le mariage de Figaro : comédie / Beaumarchais ; avec une notice historique et littéraire, des notes explicatives, des jugements, un questionnaire et des sujets de devoirs, par Pierre Richard.</t>
        </is>
      </c>
      <c r="G79" t="inlineStr">
        <is>
          <t>V.2</t>
        </is>
      </c>
      <c r="H79" t="inlineStr">
        <is>
          <t>Yes</t>
        </is>
      </c>
      <c r="I79" t="inlineStr">
        <is>
          <t>1</t>
        </is>
      </c>
      <c r="J79" t="inlineStr">
        <is>
          <t>No</t>
        </is>
      </c>
      <c r="K79" t="inlineStr">
        <is>
          <t>No</t>
        </is>
      </c>
      <c r="L79" t="inlineStr">
        <is>
          <t>0</t>
        </is>
      </c>
      <c r="M79" t="inlineStr">
        <is>
          <t>Beaumarchais, Pierre Augustin Caron de, 1732-1799.</t>
        </is>
      </c>
      <c r="N79" t="inlineStr">
        <is>
          <t>Paris : Librairie Larousse, 1934.</t>
        </is>
      </c>
      <c r="O79" t="inlineStr">
        <is>
          <t>1934</t>
        </is>
      </c>
      <c r="Q79" t="inlineStr">
        <is>
          <t>fre</t>
        </is>
      </c>
      <c r="R79" t="inlineStr">
        <is>
          <t xml:space="preserve">fr </t>
        </is>
      </c>
      <c r="S79" t="inlineStr">
        <is>
          <t>Classiques Larousse</t>
        </is>
      </c>
      <c r="T79" t="inlineStr">
        <is>
          <t xml:space="preserve">PQ </t>
        </is>
      </c>
      <c r="U79" t="n">
        <v>1</v>
      </c>
      <c r="V79" t="n">
        <v>2</v>
      </c>
      <c r="W79" t="inlineStr">
        <is>
          <t>2000-11-28</t>
        </is>
      </c>
      <c r="X79" t="inlineStr">
        <is>
          <t>2000-11-28</t>
        </is>
      </c>
      <c r="Y79" t="inlineStr">
        <is>
          <t>2000-11-28</t>
        </is>
      </c>
      <c r="Z79" t="inlineStr">
        <is>
          <t>2000-11-28</t>
        </is>
      </c>
      <c r="AA79" t="n">
        <v>97</v>
      </c>
      <c r="AB79" t="n">
        <v>70</v>
      </c>
      <c r="AC79" t="n">
        <v>192</v>
      </c>
      <c r="AD79" t="n">
        <v>2</v>
      </c>
      <c r="AE79" t="n">
        <v>2</v>
      </c>
      <c r="AF79" t="n">
        <v>4</v>
      </c>
      <c r="AG79" t="n">
        <v>9</v>
      </c>
      <c r="AH79" t="n">
        <v>2</v>
      </c>
      <c r="AI79" t="n">
        <v>5</v>
      </c>
      <c r="AJ79" t="n">
        <v>1</v>
      </c>
      <c r="AK79" t="n">
        <v>2</v>
      </c>
      <c r="AL79" t="n">
        <v>2</v>
      </c>
      <c r="AM79" t="n">
        <v>6</v>
      </c>
      <c r="AN79" t="n">
        <v>1</v>
      </c>
      <c r="AO79" t="n">
        <v>1</v>
      </c>
      <c r="AP79" t="n">
        <v>0</v>
      </c>
      <c r="AQ79" t="n">
        <v>0</v>
      </c>
      <c r="AR79" t="inlineStr">
        <is>
          <t>No</t>
        </is>
      </c>
      <c r="AS79" t="inlineStr">
        <is>
          <t>No</t>
        </is>
      </c>
      <c r="AU79">
        <f>HYPERLINK("https://creighton-primo.hosted.exlibrisgroup.com/primo-explore/search?tab=default_tab&amp;search_scope=EVERYTHING&amp;vid=01CRU&amp;lang=en_US&amp;offset=0&amp;query=any,contains,991003348599702656","Catalog Record")</f>
        <v/>
      </c>
      <c r="AV79">
        <f>HYPERLINK("http://www.worldcat.org/oclc/5139993","WorldCat Record")</f>
        <v/>
      </c>
      <c r="AW79" t="inlineStr">
        <is>
          <t>4160663845:fre</t>
        </is>
      </c>
      <c r="AX79" t="inlineStr">
        <is>
          <t>5139993</t>
        </is>
      </c>
      <c r="AY79" t="inlineStr">
        <is>
          <t>991003348599702656</t>
        </is>
      </c>
      <c r="AZ79" t="inlineStr">
        <is>
          <t>991003348599702656</t>
        </is>
      </c>
      <c r="BA79" t="inlineStr">
        <is>
          <t>2262639510002656</t>
        </is>
      </c>
      <c r="BB79" t="inlineStr">
        <is>
          <t>BOOK</t>
        </is>
      </c>
      <c r="BE79" t="inlineStr">
        <is>
          <t>32285004267687</t>
        </is>
      </c>
      <c r="BF79" t="inlineStr">
        <is>
          <t>893330229</t>
        </is>
      </c>
    </row>
    <row r="80">
      <c r="A80" t="inlineStr">
        <is>
          <t>No</t>
        </is>
      </c>
      <c r="B80" t="inlineStr">
        <is>
          <t>CURAL</t>
        </is>
      </c>
      <c r="C80" t="inlineStr">
        <is>
          <t>SHELVES</t>
        </is>
      </c>
      <c r="D80" t="inlineStr">
        <is>
          <t>PQ1956 .A7 1934</t>
        </is>
      </c>
      <c r="E80" t="inlineStr">
        <is>
          <t>0                      PQ 1956000A  7           1934</t>
        </is>
      </c>
      <c r="F80" t="inlineStr">
        <is>
          <t>Le mariage de Figaro : comédie / Beaumarchais ; avec une notice historique et littéraire, des notes explicatives, des jugements, un questionnaire et des sujets de devoirs, par Pierre Richard.</t>
        </is>
      </c>
      <c r="G80" t="inlineStr">
        <is>
          <t>V.1</t>
        </is>
      </c>
      <c r="H80" t="inlineStr">
        <is>
          <t>Yes</t>
        </is>
      </c>
      <c r="I80" t="inlineStr">
        <is>
          <t>1</t>
        </is>
      </c>
      <c r="J80" t="inlineStr">
        <is>
          <t>No</t>
        </is>
      </c>
      <c r="K80" t="inlineStr">
        <is>
          <t>No</t>
        </is>
      </c>
      <c r="L80" t="inlineStr">
        <is>
          <t>0</t>
        </is>
      </c>
      <c r="M80" t="inlineStr">
        <is>
          <t>Beaumarchais, Pierre Augustin Caron de, 1732-1799.</t>
        </is>
      </c>
      <c r="N80" t="inlineStr">
        <is>
          <t>Paris : Librairie Larousse, 1934.</t>
        </is>
      </c>
      <c r="O80" t="inlineStr">
        <is>
          <t>1934</t>
        </is>
      </c>
      <c r="Q80" t="inlineStr">
        <is>
          <t>fre</t>
        </is>
      </c>
      <c r="R80" t="inlineStr">
        <is>
          <t xml:space="preserve">fr </t>
        </is>
      </c>
      <c r="S80" t="inlineStr">
        <is>
          <t>Classiques Larousse</t>
        </is>
      </c>
      <c r="T80" t="inlineStr">
        <is>
          <t xml:space="preserve">PQ </t>
        </is>
      </c>
      <c r="U80" t="n">
        <v>1</v>
      </c>
      <c r="V80" t="n">
        <v>2</v>
      </c>
      <c r="W80" t="inlineStr">
        <is>
          <t>2000-11-28</t>
        </is>
      </c>
      <c r="X80" t="inlineStr">
        <is>
          <t>2000-11-28</t>
        </is>
      </c>
      <c r="Y80" t="inlineStr">
        <is>
          <t>2000-11-28</t>
        </is>
      </c>
      <c r="Z80" t="inlineStr">
        <is>
          <t>2000-11-28</t>
        </is>
      </c>
      <c r="AA80" t="n">
        <v>97</v>
      </c>
      <c r="AB80" t="n">
        <v>70</v>
      </c>
      <c r="AC80" t="n">
        <v>192</v>
      </c>
      <c r="AD80" t="n">
        <v>2</v>
      </c>
      <c r="AE80" t="n">
        <v>2</v>
      </c>
      <c r="AF80" t="n">
        <v>4</v>
      </c>
      <c r="AG80" t="n">
        <v>9</v>
      </c>
      <c r="AH80" t="n">
        <v>2</v>
      </c>
      <c r="AI80" t="n">
        <v>5</v>
      </c>
      <c r="AJ80" t="n">
        <v>1</v>
      </c>
      <c r="AK80" t="n">
        <v>2</v>
      </c>
      <c r="AL80" t="n">
        <v>2</v>
      </c>
      <c r="AM80" t="n">
        <v>6</v>
      </c>
      <c r="AN80" t="n">
        <v>1</v>
      </c>
      <c r="AO80" t="n">
        <v>1</v>
      </c>
      <c r="AP80" t="n">
        <v>0</v>
      </c>
      <c r="AQ80" t="n">
        <v>0</v>
      </c>
      <c r="AR80" t="inlineStr">
        <is>
          <t>No</t>
        </is>
      </c>
      <c r="AS80" t="inlineStr">
        <is>
          <t>No</t>
        </is>
      </c>
      <c r="AU80">
        <f>HYPERLINK("https://creighton-primo.hosted.exlibrisgroup.com/primo-explore/search?tab=default_tab&amp;search_scope=EVERYTHING&amp;vid=01CRU&amp;lang=en_US&amp;offset=0&amp;query=any,contains,991003348599702656","Catalog Record")</f>
        <v/>
      </c>
      <c r="AV80">
        <f>HYPERLINK("http://www.worldcat.org/oclc/5139993","WorldCat Record")</f>
        <v/>
      </c>
      <c r="AW80" t="inlineStr">
        <is>
          <t>4160663845:fre</t>
        </is>
      </c>
      <c r="AX80" t="inlineStr">
        <is>
          <t>5139993</t>
        </is>
      </c>
      <c r="AY80" t="inlineStr">
        <is>
          <t>991003348599702656</t>
        </is>
      </c>
      <c r="AZ80" t="inlineStr">
        <is>
          <t>991003348599702656</t>
        </is>
      </c>
      <c r="BA80" t="inlineStr">
        <is>
          <t>2262639510002656</t>
        </is>
      </c>
      <c r="BB80" t="inlineStr">
        <is>
          <t>BOOK</t>
        </is>
      </c>
      <c r="BE80" t="inlineStr">
        <is>
          <t>32285004267679</t>
        </is>
      </c>
      <c r="BF80" t="inlineStr">
        <is>
          <t>893352799</t>
        </is>
      </c>
    </row>
    <row r="81">
      <c r="A81" t="inlineStr">
        <is>
          <t>No</t>
        </is>
      </c>
      <c r="B81" t="inlineStr">
        <is>
          <t>CURAL</t>
        </is>
      </c>
      <c r="C81" t="inlineStr">
        <is>
          <t>SHELVES</t>
        </is>
      </c>
      <c r="D81" t="inlineStr">
        <is>
          <t>PQ1956 .R3</t>
        </is>
      </c>
      <c r="E81" t="inlineStr">
        <is>
          <t>0                      PQ 1956000R  3</t>
        </is>
      </c>
      <c r="F81" t="inlineStr">
        <is>
          <t>The comic style of Beaumarchais, by J.B. Ratermanis and W.R. Irwin.</t>
        </is>
      </c>
      <c r="H81" t="inlineStr">
        <is>
          <t>No</t>
        </is>
      </c>
      <c r="I81" t="inlineStr">
        <is>
          <t>1</t>
        </is>
      </c>
      <c r="J81" t="inlineStr">
        <is>
          <t>No</t>
        </is>
      </c>
      <c r="K81" t="inlineStr">
        <is>
          <t>No</t>
        </is>
      </c>
      <c r="L81" t="inlineStr">
        <is>
          <t>0</t>
        </is>
      </c>
      <c r="M81" t="inlineStr">
        <is>
          <t>Ratermanis, J. B.</t>
        </is>
      </c>
      <c r="N81" t="inlineStr">
        <is>
          <t>Seattle, University of Washington Press, 1961.</t>
        </is>
      </c>
      <c r="O81" t="inlineStr">
        <is>
          <t>1961</t>
        </is>
      </c>
      <c r="Q81" t="inlineStr">
        <is>
          <t>eng</t>
        </is>
      </c>
      <c r="R81" t="inlineStr">
        <is>
          <t>wau</t>
        </is>
      </c>
      <c r="T81" t="inlineStr">
        <is>
          <t xml:space="preserve">PQ </t>
        </is>
      </c>
      <c r="U81" t="n">
        <v>2</v>
      </c>
      <c r="V81" t="n">
        <v>2</v>
      </c>
      <c r="W81" t="inlineStr">
        <is>
          <t>1998-12-14</t>
        </is>
      </c>
      <c r="X81" t="inlineStr">
        <is>
          <t>1998-12-14</t>
        </is>
      </c>
      <c r="Y81" t="inlineStr">
        <is>
          <t>1997-05-09</t>
        </is>
      </c>
      <c r="Z81" t="inlineStr">
        <is>
          <t>1997-05-09</t>
        </is>
      </c>
      <c r="AA81" t="n">
        <v>503</v>
      </c>
      <c r="AB81" t="n">
        <v>401</v>
      </c>
      <c r="AC81" t="n">
        <v>530</v>
      </c>
      <c r="AD81" t="n">
        <v>4</v>
      </c>
      <c r="AE81" t="n">
        <v>4</v>
      </c>
      <c r="AF81" t="n">
        <v>26</v>
      </c>
      <c r="AG81" t="n">
        <v>31</v>
      </c>
      <c r="AH81" t="n">
        <v>4</v>
      </c>
      <c r="AI81" t="n">
        <v>8</v>
      </c>
      <c r="AJ81" t="n">
        <v>7</v>
      </c>
      <c r="AK81" t="n">
        <v>9</v>
      </c>
      <c r="AL81" t="n">
        <v>17</v>
      </c>
      <c r="AM81" t="n">
        <v>17</v>
      </c>
      <c r="AN81" t="n">
        <v>3</v>
      </c>
      <c r="AO81" t="n">
        <v>3</v>
      </c>
      <c r="AP81" t="n">
        <v>0</v>
      </c>
      <c r="AQ81" t="n">
        <v>0</v>
      </c>
      <c r="AR81" t="inlineStr">
        <is>
          <t>No</t>
        </is>
      </c>
      <c r="AS81" t="inlineStr">
        <is>
          <t>Yes</t>
        </is>
      </c>
      <c r="AT81">
        <f>HYPERLINK("http://catalog.hathitrust.org/Record/001203968","HathiTrust Record")</f>
        <v/>
      </c>
      <c r="AU81">
        <f>HYPERLINK("https://creighton-primo.hosted.exlibrisgroup.com/primo-explore/search?tab=default_tab&amp;search_scope=EVERYTHING&amp;vid=01CRU&amp;lang=en_US&amp;offset=0&amp;query=any,contains,991002406519702656","Catalog Record")</f>
        <v/>
      </c>
      <c r="AV81">
        <f>HYPERLINK("http://www.worldcat.org/oclc/338575","WorldCat Record")</f>
        <v/>
      </c>
      <c r="AW81" t="inlineStr">
        <is>
          <t>1220910:eng</t>
        </is>
      </c>
      <c r="AX81" t="inlineStr">
        <is>
          <t>338575</t>
        </is>
      </c>
      <c r="AY81" t="inlineStr">
        <is>
          <t>991002406519702656</t>
        </is>
      </c>
      <c r="AZ81" t="inlineStr">
        <is>
          <t>991002406519702656</t>
        </is>
      </c>
      <c r="BA81" t="inlineStr">
        <is>
          <t>2257108290002656</t>
        </is>
      </c>
      <c r="BB81" t="inlineStr">
        <is>
          <t>BOOK</t>
        </is>
      </c>
      <c r="BD81" t="inlineStr">
        <is>
          <t>9780837122984</t>
        </is>
      </c>
      <c r="BE81" t="inlineStr">
        <is>
          <t>32285002653037</t>
        </is>
      </c>
      <c r="BF81" t="inlineStr">
        <is>
          <t>893685329</t>
        </is>
      </c>
    </row>
    <row r="82">
      <c r="A82" t="inlineStr">
        <is>
          <t>No</t>
        </is>
      </c>
      <c r="B82" t="inlineStr">
        <is>
          <t>CURAL</t>
        </is>
      </c>
      <c r="C82" t="inlineStr">
        <is>
          <t>SHELVES</t>
        </is>
      </c>
      <c r="D82" t="inlineStr">
        <is>
          <t>PQ1971.C6 A6513 1978</t>
        </is>
      </c>
      <c r="E82" t="inlineStr">
        <is>
          <t>0                      PQ 1971000C  6                  A  6513        1978</t>
        </is>
      </c>
      <c r="F82" t="inlineStr">
        <is>
          <t>The wayward head and heart / Crébillon fils ; translated by Barbara Bray ; introduced by Rayner Heppenstall.</t>
        </is>
      </c>
      <c r="H82" t="inlineStr">
        <is>
          <t>No</t>
        </is>
      </c>
      <c r="I82" t="inlineStr">
        <is>
          <t>1</t>
        </is>
      </c>
      <c r="J82" t="inlineStr">
        <is>
          <t>No</t>
        </is>
      </c>
      <c r="K82" t="inlineStr">
        <is>
          <t>No</t>
        </is>
      </c>
      <c r="L82" t="inlineStr">
        <is>
          <t>0</t>
        </is>
      </c>
      <c r="M82" t="inlineStr">
        <is>
          <t>Crébillon, Claude-Prosper Jolyot de, 1707-1777.</t>
        </is>
      </c>
      <c r="N82" t="inlineStr">
        <is>
          <t>Westport, Conn. : Greenwood Press, [1978] c1963.</t>
        </is>
      </c>
      <c r="O82" t="inlineStr">
        <is>
          <t>1978</t>
        </is>
      </c>
      <c r="Q82" t="inlineStr">
        <is>
          <t>eng</t>
        </is>
      </c>
      <c r="R82" t="inlineStr">
        <is>
          <t>ctu</t>
        </is>
      </c>
      <c r="T82" t="inlineStr">
        <is>
          <t xml:space="preserve">PQ </t>
        </is>
      </c>
      <c r="U82" t="n">
        <v>2</v>
      </c>
      <c r="V82" t="n">
        <v>2</v>
      </c>
      <c r="W82" t="inlineStr">
        <is>
          <t>1994-10-10</t>
        </is>
      </c>
      <c r="X82" t="inlineStr">
        <is>
          <t>1994-10-10</t>
        </is>
      </c>
      <c r="Y82" t="inlineStr">
        <is>
          <t>1991-05-07</t>
        </is>
      </c>
      <c r="Z82" t="inlineStr">
        <is>
          <t>1991-05-07</t>
        </is>
      </c>
      <c r="AA82" t="n">
        <v>59</v>
      </c>
      <c r="AB82" t="n">
        <v>51</v>
      </c>
      <c r="AC82" t="n">
        <v>221</v>
      </c>
      <c r="AD82" t="n">
        <v>1</v>
      </c>
      <c r="AE82" t="n">
        <v>2</v>
      </c>
      <c r="AF82" t="n">
        <v>2</v>
      </c>
      <c r="AG82" t="n">
        <v>10</v>
      </c>
      <c r="AH82" t="n">
        <v>0</v>
      </c>
      <c r="AI82" t="n">
        <v>2</v>
      </c>
      <c r="AJ82" t="n">
        <v>1</v>
      </c>
      <c r="AK82" t="n">
        <v>3</v>
      </c>
      <c r="AL82" t="n">
        <v>2</v>
      </c>
      <c r="AM82" t="n">
        <v>7</v>
      </c>
      <c r="AN82" t="n">
        <v>0</v>
      </c>
      <c r="AO82" t="n">
        <v>1</v>
      </c>
      <c r="AP82" t="n">
        <v>0</v>
      </c>
      <c r="AQ82" t="n">
        <v>0</v>
      </c>
      <c r="AR82" t="inlineStr">
        <is>
          <t>No</t>
        </is>
      </c>
      <c r="AS82" t="inlineStr">
        <is>
          <t>No</t>
        </is>
      </c>
      <c r="AU82">
        <f>HYPERLINK("https://creighton-primo.hosted.exlibrisgroup.com/primo-explore/search?tab=default_tab&amp;search_scope=EVERYTHING&amp;vid=01CRU&amp;lang=en_US&amp;offset=0&amp;query=any,contains,991004573319702656","Catalog Record")</f>
        <v/>
      </c>
      <c r="AV82">
        <f>HYPERLINK("http://www.worldcat.org/oclc/4036769","WorldCat Record")</f>
        <v/>
      </c>
      <c r="AW82" t="inlineStr">
        <is>
          <t>445217:eng</t>
        </is>
      </c>
      <c r="AX82" t="inlineStr">
        <is>
          <t>4036769</t>
        </is>
      </c>
      <c r="AY82" t="inlineStr">
        <is>
          <t>991004573319702656</t>
        </is>
      </c>
      <c r="AZ82" t="inlineStr">
        <is>
          <t>991004573319702656</t>
        </is>
      </c>
      <c r="BA82" t="inlineStr">
        <is>
          <t>2269083980002656</t>
        </is>
      </c>
      <c r="BB82" t="inlineStr">
        <is>
          <t>BOOK</t>
        </is>
      </c>
      <c r="BD82" t="inlineStr">
        <is>
          <t>9780313205781</t>
        </is>
      </c>
      <c r="BE82" t="inlineStr">
        <is>
          <t>32285000601673</t>
        </is>
      </c>
      <c r="BF82" t="inlineStr">
        <is>
          <t>893687885</t>
        </is>
      </c>
    </row>
    <row r="83">
      <c r="A83" t="inlineStr">
        <is>
          <t>No</t>
        </is>
      </c>
      <c r="B83" t="inlineStr">
        <is>
          <t>CURAL</t>
        </is>
      </c>
      <c r="C83" t="inlineStr">
        <is>
          <t>SHELVES</t>
        </is>
      </c>
      <c r="D83" t="inlineStr">
        <is>
          <t>PQ1979 .F72 1983</t>
        </is>
      </c>
      <c r="E83" t="inlineStr">
        <is>
          <t>0                      PQ 1979000F  72          1983</t>
        </is>
      </c>
      <c r="F83" t="inlineStr">
        <is>
          <t>Diderot / Peter France.</t>
        </is>
      </c>
      <c r="H83" t="inlineStr">
        <is>
          <t>No</t>
        </is>
      </c>
      <c r="I83" t="inlineStr">
        <is>
          <t>1</t>
        </is>
      </c>
      <c r="J83" t="inlineStr">
        <is>
          <t>No</t>
        </is>
      </c>
      <c r="K83" t="inlineStr">
        <is>
          <t>No</t>
        </is>
      </c>
      <c r="L83" t="inlineStr">
        <is>
          <t>0</t>
        </is>
      </c>
      <c r="M83" t="inlineStr">
        <is>
          <t>France, Peter, 1935-</t>
        </is>
      </c>
      <c r="N83" t="inlineStr">
        <is>
          <t>Oxford ; New York : Oxford University Press, 1983.</t>
        </is>
      </c>
      <c r="O83" t="inlineStr">
        <is>
          <t>1983</t>
        </is>
      </c>
      <c r="Q83" t="inlineStr">
        <is>
          <t>eng</t>
        </is>
      </c>
      <c r="R83" t="inlineStr">
        <is>
          <t>enk</t>
        </is>
      </c>
      <c r="S83" t="inlineStr">
        <is>
          <t>Past masters</t>
        </is>
      </c>
      <c r="T83" t="inlineStr">
        <is>
          <t xml:space="preserve">PQ </t>
        </is>
      </c>
      <c r="U83" t="n">
        <v>2</v>
      </c>
      <c r="V83" t="n">
        <v>2</v>
      </c>
      <c r="W83" t="inlineStr">
        <is>
          <t>1996-09-20</t>
        </is>
      </c>
      <c r="X83" t="inlineStr">
        <is>
          <t>1996-09-20</t>
        </is>
      </c>
      <c r="Y83" t="inlineStr">
        <is>
          <t>1991-05-07</t>
        </is>
      </c>
      <c r="Z83" t="inlineStr">
        <is>
          <t>1991-05-07</t>
        </is>
      </c>
      <c r="AA83" t="n">
        <v>657</v>
      </c>
      <c r="AB83" t="n">
        <v>477</v>
      </c>
      <c r="AC83" t="n">
        <v>491</v>
      </c>
      <c r="AD83" t="n">
        <v>3</v>
      </c>
      <c r="AE83" t="n">
        <v>3</v>
      </c>
      <c r="AF83" t="n">
        <v>30</v>
      </c>
      <c r="AG83" t="n">
        <v>30</v>
      </c>
      <c r="AH83" t="n">
        <v>11</v>
      </c>
      <c r="AI83" t="n">
        <v>11</v>
      </c>
      <c r="AJ83" t="n">
        <v>9</v>
      </c>
      <c r="AK83" t="n">
        <v>9</v>
      </c>
      <c r="AL83" t="n">
        <v>16</v>
      </c>
      <c r="AM83" t="n">
        <v>16</v>
      </c>
      <c r="AN83" t="n">
        <v>2</v>
      </c>
      <c r="AO83" t="n">
        <v>2</v>
      </c>
      <c r="AP83" t="n">
        <v>0</v>
      </c>
      <c r="AQ83" t="n">
        <v>0</v>
      </c>
      <c r="AR83" t="inlineStr">
        <is>
          <t>No</t>
        </is>
      </c>
      <c r="AS83" t="inlineStr">
        <is>
          <t>Yes</t>
        </is>
      </c>
      <c r="AT83">
        <f>HYPERLINK("http://catalog.hathitrust.org/Record/000164094","HathiTrust Record")</f>
        <v/>
      </c>
      <c r="AU83">
        <f>HYPERLINK("https://creighton-primo.hosted.exlibrisgroup.com/primo-explore/search?tab=default_tab&amp;search_scope=EVERYTHING&amp;vid=01CRU&amp;lang=en_US&amp;offset=0&amp;query=any,contains,991000360679702656","Catalog Record")</f>
        <v/>
      </c>
      <c r="AV83">
        <f>HYPERLINK("http://www.worldcat.org/oclc/10362397","WorldCat Record")</f>
        <v/>
      </c>
      <c r="AW83" t="inlineStr">
        <is>
          <t>2564786014:eng</t>
        </is>
      </c>
      <c r="AX83" t="inlineStr">
        <is>
          <t>10362397</t>
        </is>
      </c>
      <c r="AY83" t="inlineStr">
        <is>
          <t>991000360679702656</t>
        </is>
      </c>
      <c r="AZ83" t="inlineStr">
        <is>
          <t>991000360679702656</t>
        </is>
      </c>
      <c r="BA83" t="inlineStr">
        <is>
          <t>2269147870002656</t>
        </is>
      </c>
      <c r="BB83" t="inlineStr">
        <is>
          <t>BOOK</t>
        </is>
      </c>
      <c r="BD83" t="inlineStr">
        <is>
          <t>9780192875518</t>
        </is>
      </c>
      <c r="BE83" t="inlineStr">
        <is>
          <t>32285000601681</t>
        </is>
      </c>
      <c r="BF83" t="inlineStr">
        <is>
          <t>893345575</t>
        </is>
      </c>
    </row>
    <row r="84">
      <c r="A84" t="inlineStr">
        <is>
          <t>No</t>
        </is>
      </c>
      <c r="B84" t="inlineStr">
        <is>
          <t>CURAL</t>
        </is>
      </c>
      <c r="C84" t="inlineStr">
        <is>
          <t>SHELVES</t>
        </is>
      </c>
      <c r="D84" t="inlineStr">
        <is>
          <t>PQ1993.L22 Z6 1969</t>
        </is>
      </c>
      <c r="E84" t="inlineStr">
        <is>
          <t>0                      PQ 1993000L  22                 Z  6           1969</t>
        </is>
      </c>
      <c r="F84" t="inlineStr">
        <is>
          <t>Laclos : teoría del libertino / [editor] Roger Vailland.</t>
        </is>
      </c>
      <c r="H84" t="inlineStr">
        <is>
          <t>No</t>
        </is>
      </c>
      <c r="I84" t="inlineStr">
        <is>
          <t>1</t>
        </is>
      </c>
      <c r="J84" t="inlineStr">
        <is>
          <t>No</t>
        </is>
      </c>
      <c r="K84" t="inlineStr">
        <is>
          <t>No</t>
        </is>
      </c>
      <c r="L84" t="inlineStr">
        <is>
          <t>0</t>
        </is>
      </c>
      <c r="M84" t="inlineStr">
        <is>
          <t>Laclos, Choderlos de, 1741-1803.</t>
        </is>
      </c>
      <c r="N84" t="inlineStr">
        <is>
          <t>Barcelona : Editorial Anagrama, [1969]</t>
        </is>
      </c>
      <c r="O84" t="inlineStr">
        <is>
          <t>1969</t>
        </is>
      </c>
      <c r="Q84" t="inlineStr">
        <is>
          <t>spa</t>
        </is>
      </c>
      <c r="R84" t="inlineStr">
        <is>
          <t xml:space="preserve">sp </t>
        </is>
      </c>
      <c r="S84" t="inlineStr">
        <is>
          <t>Colección Argumentos / Anagrama ; 2</t>
        </is>
      </c>
      <c r="T84" t="inlineStr">
        <is>
          <t xml:space="preserve">PQ </t>
        </is>
      </c>
      <c r="U84" t="n">
        <v>1</v>
      </c>
      <c r="V84" t="n">
        <v>1</v>
      </c>
      <c r="W84" t="inlineStr">
        <is>
          <t>2002-07-29</t>
        </is>
      </c>
      <c r="X84" t="inlineStr">
        <is>
          <t>2002-07-29</t>
        </is>
      </c>
      <c r="Y84" t="inlineStr">
        <is>
          <t>2002-07-29</t>
        </is>
      </c>
      <c r="Z84" t="inlineStr">
        <is>
          <t>2002-07-29</t>
        </is>
      </c>
      <c r="AA84" t="n">
        <v>7</v>
      </c>
      <c r="AB84" t="n">
        <v>3</v>
      </c>
      <c r="AC84" t="n">
        <v>3</v>
      </c>
      <c r="AD84" t="n">
        <v>1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0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inlineStr">
        <is>
          <t>No</t>
        </is>
      </c>
      <c r="AS84" t="inlineStr">
        <is>
          <t>No</t>
        </is>
      </c>
      <c r="AU84">
        <f>HYPERLINK("https://creighton-primo.hosted.exlibrisgroup.com/primo-explore/search?tab=default_tab&amp;search_scope=EVERYTHING&amp;vid=01CRU&amp;lang=en_US&amp;offset=0&amp;query=any,contains,991003846439702656","Catalog Record")</f>
        <v/>
      </c>
      <c r="AV84">
        <f>HYPERLINK("http://www.worldcat.org/oclc/45246816","WorldCat Record")</f>
        <v/>
      </c>
      <c r="AW84" t="inlineStr">
        <is>
          <t>4495332221:spa</t>
        </is>
      </c>
      <c r="AX84" t="inlineStr">
        <is>
          <t>45246816</t>
        </is>
      </c>
      <c r="AY84" t="inlineStr">
        <is>
          <t>991003846439702656</t>
        </is>
      </c>
      <c r="AZ84" t="inlineStr">
        <is>
          <t>991003846439702656</t>
        </is>
      </c>
      <c r="BA84" t="inlineStr">
        <is>
          <t>2267945690002656</t>
        </is>
      </c>
      <c r="BB84" t="inlineStr">
        <is>
          <t>BOOK</t>
        </is>
      </c>
      <c r="BD84" t="inlineStr">
        <is>
          <t>9788433900029</t>
        </is>
      </c>
      <c r="BE84" t="inlineStr">
        <is>
          <t>32285004499876</t>
        </is>
      </c>
      <c r="BF84" t="inlineStr">
        <is>
          <t>893894230</t>
        </is>
      </c>
    </row>
    <row r="85">
      <c r="A85" t="inlineStr">
        <is>
          <t>No</t>
        </is>
      </c>
      <c r="B85" t="inlineStr">
        <is>
          <t>CURAL</t>
        </is>
      </c>
      <c r="C85" t="inlineStr">
        <is>
          <t>SHELVES</t>
        </is>
      </c>
      <c r="D85" t="inlineStr">
        <is>
          <t>PQ2003 .V5 1963</t>
        </is>
      </c>
      <c r="E85" t="inlineStr">
        <is>
          <t>0                      PQ 2003000V  5           1963</t>
        </is>
      </c>
      <c r="F85" t="inlineStr">
        <is>
          <t>La Vie de Marianne ; ou les Aventures de Madame la Comtesse de*** / Marivaux. [Texte établi, avec introduction, chronologie, bibliographie, notes et glossaire par Frédéric Deloffre]</t>
        </is>
      </c>
      <c r="H85" t="inlineStr">
        <is>
          <t>No</t>
        </is>
      </c>
      <c r="I85" t="inlineStr">
        <is>
          <t>1</t>
        </is>
      </c>
      <c r="J85" t="inlineStr">
        <is>
          <t>No</t>
        </is>
      </c>
      <c r="K85" t="inlineStr">
        <is>
          <t>Yes</t>
        </is>
      </c>
      <c r="L85" t="inlineStr">
        <is>
          <t>0</t>
        </is>
      </c>
      <c r="M85" t="inlineStr">
        <is>
          <t>Marivaux, Pierre Carlet de Chamblain de, 1688-1763.</t>
        </is>
      </c>
      <c r="N85" t="inlineStr">
        <is>
          <t>Paris : Garnier, [1963]</t>
        </is>
      </c>
      <c r="O85" t="inlineStr">
        <is>
          <t>1963</t>
        </is>
      </c>
      <c r="Q85" t="inlineStr">
        <is>
          <t>fre</t>
        </is>
      </c>
      <c r="R85" t="inlineStr">
        <is>
          <t xml:space="preserve">xx </t>
        </is>
      </c>
      <c r="S85" t="inlineStr">
        <is>
          <t>Classiques Garnier</t>
        </is>
      </c>
      <c r="T85" t="inlineStr">
        <is>
          <t xml:space="preserve">PQ </t>
        </is>
      </c>
      <c r="U85" t="n">
        <v>1</v>
      </c>
      <c r="V85" t="n">
        <v>1</v>
      </c>
      <c r="W85" t="inlineStr">
        <is>
          <t>1996-09-13</t>
        </is>
      </c>
      <c r="X85" t="inlineStr">
        <is>
          <t>1996-09-13</t>
        </is>
      </c>
      <c r="Y85" t="inlineStr">
        <is>
          <t>1995-09-18</t>
        </is>
      </c>
      <c r="Z85" t="inlineStr">
        <is>
          <t>1995-09-18</t>
        </is>
      </c>
      <c r="AA85" t="n">
        <v>180</v>
      </c>
      <c r="AB85" t="n">
        <v>162</v>
      </c>
      <c r="AC85" t="n">
        <v>556</v>
      </c>
      <c r="AD85" t="n">
        <v>3</v>
      </c>
      <c r="AE85" t="n">
        <v>5</v>
      </c>
      <c r="AF85" t="n">
        <v>9</v>
      </c>
      <c r="AG85" t="n">
        <v>35</v>
      </c>
      <c r="AH85" t="n">
        <v>1</v>
      </c>
      <c r="AI85" t="n">
        <v>12</v>
      </c>
      <c r="AJ85" t="n">
        <v>3</v>
      </c>
      <c r="AK85" t="n">
        <v>10</v>
      </c>
      <c r="AL85" t="n">
        <v>4</v>
      </c>
      <c r="AM85" t="n">
        <v>19</v>
      </c>
      <c r="AN85" t="n">
        <v>2</v>
      </c>
      <c r="AO85" t="n">
        <v>4</v>
      </c>
      <c r="AP85" t="n">
        <v>0</v>
      </c>
      <c r="AQ85" t="n">
        <v>0</v>
      </c>
      <c r="AR85" t="inlineStr">
        <is>
          <t>No</t>
        </is>
      </c>
      <c r="AS85" t="inlineStr">
        <is>
          <t>No</t>
        </is>
      </c>
      <c r="AU85">
        <f>HYPERLINK("https://creighton-primo.hosted.exlibrisgroup.com/primo-explore/search?tab=default_tab&amp;search_scope=EVERYTHING&amp;vid=01CRU&amp;lang=en_US&amp;offset=0&amp;query=any,contains,991003133729702656","Catalog Record")</f>
        <v/>
      </c>
      <c r="AV85">
        <f>HYPERLINK("http://www.worldcat.org/oclc/676111","WorldCat Record")</f>
        <v/>
      </c>
      <c r="AW85" t="inlineStr">
        <is>
          <t>348391605:fre</t>
        </is>
      </c>
      <c r="AX85" t="inlineStr">
        <is>
          <t>676111</t>
        </is>
      </c>
      <c r="AY85" t="inlineStr">
        <is>
          <t>991003133729702656</t>
        </is>
      </c>
      <c r="AZ85" t="inlineStr">
        <is>
          <t>991003133729702656</t>
        </is>
      </c>
      <c r="BA85" t="inlineStr">
        <is>
          <t>2270199760002656</t>
        </is>
      </c>
      <c r="BB85" t="inlineStr">
        <is>
          <t>BOOK</t>
        </is>
      </c>
      <c r="BE85" t="inlineStr">
        <is>
          <t>32285002094224</t>
        </is>
      </c>
      <c r="BF85" t="inlineStr">
        <is>
          <t>893721801</t>
        </is>
      </c>
    </row>
    <row r="86">
      <c r="A86" t="inlineStr">
        <is>
          <t>No</t>
        </is>
      </c>
      <c r="B86" t="inlineStr">
        <is>
          <t>CURAL</t>
        </is>
      </c>
      <c r="C86" t="inlineStr">
        <is>
          <t>SHELVES</t>
        </is>
      </c>
      <c r="D86" t="inlineStr">
        <is>
          <t>PQ2011 .E8 1967</t>
        </is>
      </c>
      <c r="E86" t="inlineStr">
        <is>
          <t>0                      PQ 2011000E  8           1967</t>
        </is>
      </c>
      <c r="F86" t="inlineStr">
        <is>
          <t>Essai sur le goût / Montesquieu. Introd. et notes par Charles-Jacques Beyer.</t>
        </is>
      </c>
      <c r="H86" t="inlineStr">
        <is>
          <t>No</t>
        </is>
      </c>
      <c r="I86" t="inlineStr">
        <is>
          <t>1</t>
        </is>
      </c>
      <c r="J86" t="inlineStr">
        <is>
          <t>No</t>
        </is>
      </c>
      <c r="K86" t="inlineStr">
        <is>
          <t>No</t>
        </is>
      </c>
      <c r="L86" t="inlineStr">
        <is>
          <t>0</t>
        </is>
      </c>
      <c r="M86" t="inlineStr">
        <is>
          <t>Montesquieu, Charles de Secondat, baron de, 1689-1755.</t>
        </is>
      </c>
      <c r="N86" t="inlineStr">
        <is>
          <t>Genève : Droz, 1967.</t>
        </is>
      </c>
      <c r="O86" t="inlineStr">
        <is>
          <t>1967</t>
        </is>
      </c>
      <c r="Q86" t="inlineStr">
        <is>
          <t>fre</t>
        </is>
      </c>
      <c r="R86" t="inlineStr">
        <is>
          <t xml:space="preserve">xx </t>
        </is>
      </c>
      <c r="S86" t="inlineStr">
        <is>
          <t>Textes littéraires français ; 143</t>
        </is>
      </c>
      <c r="T86" t="inlineStr">
        <is>
          <t xml:space="preserve">PQ </t>
        </is>
      </c>
      <c r="U86" t="n">
        <v>2</v>
      </c>
      <c r="V86" t="n">
        <v>2</v>
      </c>
      <c r="W86" t="inlineStr">
        <is>
          <t>1996-07-20</t>
        </is>
      </c>
      <c r="X86" t="inlineStr">
        <is>
          <t>1996-07-20</t>
        </is>
      </c>
      <c r="Y86" t="inlineStr">
        <is>
          <t>1995-09-18</t>
        </is>
      </c>
      <c r="Z86" t="inlineStr">
        <is>
          <t>1995-09-18</t>
        </is>
      </c>
      <c r="AA86" t="n">
        <v>250</v>
      </c>
      <c r="AB86" t="n">
        <v>162</v>
      </c>
      <c r="AC86" t="n">
        <v>173</v>
      </c>
      <c r="AD86" t="n">
        <v>2</v>
      </c>
      <c r="AE86" t="n">
        <v>2</v>
      </c>
      <c r="AF86" t="n">
        <v>7</v>
      </c>
      <c r="AG86" t="n">
        <v>7</v>
      </c>
      <c r="AH86" t="n">
        <v>0</v>
      </c>
      <c r="AI86" t="n">
        <v>0</v>
      </c>
      <c r="AJ86" t="n">
        <v>3</v>
      </c>
      <c r="AK86" t="n">
        <v>3</v>
      </c>
      <c r="AL86" t="n">
        <v>5</v>
      </c>
      <c r="AM86" t="n">
        <v>5</v>
      </c>
      <c r="AN86" t="n">
        <v>1</v>
      </c>
      <c r="AO86" t="n">
        <v>1</v>
      </c>
      <c r="AP86" t="n">
        <v>0</v>
      </c>
      <c r="AQ86" t="n">
        <v>0</v>
      </c>
      <c r="AR86" t="inlineStr">
        <is>
          <t>No</t>
        </is>
      </c>
      <c r="AS86" t="inlineStr">
        <is>
          <t>Yes</t>
        </is>
      </c>
      <c r="AT86">
        <f>HYPERLINK("http://catalog.hathitrust.org/Record/001214028","HathiTrust Record")</f>
        <v/>
      </c>
      <c r="AU86">
        <f>HYPERLINK("https://creighton-primo.hosted.exlibrisgroup.com/primo-explore/search?tab=default_tab&amp;search_scope=EVERYTHING&amp;vid=01CRU&amp;lang=en_US&amp;offset=0&amp;query=any,contains,991003023809702656","Catalog Record")</f>
        <v/>
      </c>
      <c r="AV86">
        <f>HYPERLINK("http://www.worldcat.org/oclc/588759","WorldCat Record")</f>
        <v/>
      </c>
      <c r="AW86" t="inlineStr">
        <is>
          <t>2908904878:fre</t>
        </is>
      </c>
      <c r="AX86" t="inlineStr">
        <is>
          <t>588759</t>
        </is>
      </c>
      <c r="AY86" t="inlineStr">
        <is>
          <t>991003023809702656</t>
        </is>
      </c>
      <c r="AZ86" t="inlineStr">
        <is>
          <t>991003023809702656</t>
        </is>
      </c>
      <c r="BA86" t="inlineStr">
        <is>
          <t>2270001090002656</t>
        </is>
      </c>
      <c r="BB86" t="inlineStr">
        <is>
          <t>BOOK</t>
        </is>
      </c>
      <c r="BE86" t="inlineStr">
        <is>
          <t>32285002094174</t>
        </is>
      </c>
      <c r="BF86" t="inlineStr">
        <is>
          <t>893342161</t>
        </is>
      </c>
    </row>
    <row r="87">
      <c r="A87" t="inlineStr">
        <is>
          <t>No</t>
        </is>
      </c>
      <c r="B87" t="inlineStr">
        <is>
          <t>CURAL</t>
        </is>
      </c>
      <c r="C87" t="inlineStr">
        <is>
          <t>SHELVES</t>
        </is>
      </c>
      <c r="D87" t="inlineStr">
        <is>
          <t>PQ2036 .E4 1966</t>
        </is>
      </c>
      <c r="E87" t="inlineStr">
        <is>
          <t>0                      PQ 2036000E  4           1966</t>
        </is>
      </c>
      <c r="F87" t="inlineStr">
        <is>
          <t>Rousseau's Venetian story; an essay upon art and truth in Les confessions, by Madeleine B. Ellis.</t>
        </is>
      </c>
      <c r="H87" t="inlineStr">
        <is>
          <t>No</t>
        </is>
      </c>
      <c r="I87" t="inlineStr">
        <is>
          <t>1</t>
        </is>
      </c>
      <c r="J87" t="inlineStr">
        <is>
          <t>No</t>
        </is>
      </c>
      <c r="K87" t="inlineStr">
        <is>
          <t>No</t>
        </is>
      </c>
      <c r="L87" t="inlineStr">
        <is>
          <t>0</t>
        </is>
      </c>
      <c r="M87" t="inlineStr">
        <is>
          <t>Ellis, Madeleine B.</t>
        </is>
      </c>
      <c r="N87" t="inlineStr">
        <is>
          <t>Baltimore, Johns Hopkins Press [1966]</t>
        </is>
      </c>
      <c r="O87" t="inlineStr">
        <is>
          <t>1966</t>
        </is>
      </c>
      <c r="Q87" t="inlineStr">
        <is>
          <t>eng</t>
        </is>
      </c>
      <c r="R87" t="inlineStr">
        <is>
          <t>mdu</t>
        </is>
      </c>
      <c r="T87" t="inlineStr">
        <is>
          <t xml:space="preserve">PQ </t>
        </is>
      </c>
      <c r="U87" t="n">
        <v>1</v>
      </c>
      <c r="V87" t="n">
        <v>1</v>
      </c>
      <c r="W87" t="inlineStr">
        <is>
          <t>2003-10-15</t>
        </is>
      </c>
      <c r="X87" t="inlineStr">
        <is>
          <t>2003-10-15</t>
        </is>
      </c>
      <c r="Y87" t="inlineStr">
        <is>
          <t>2003-10-15</t>
        </is>
      </c>
      <c r="Z87" t="inlineStr">
        <is>
          <t>2003-10-15</t>
        </is>
      </c>
      <c r="AA87" t="n">
        <v>468</v>
      </c>
      <c r="AB87" t="n">
        <v>382</v>
      </c>
      <c r="AC87" t="n">
        <v>500</v>
      </c>
      <c r="AD87" t="n">
        <v>5</v>
      </c>
      <c r="AE87" t="n">
        <v>7</v>
      </c>
      <c r="AF87" t="n">
        <v>19</v>
      </c>
      <c r="AG87" t="n">
        <v>24</v>
      </c>
      <c r="AH87" t="n">
        <v>5</v>
      </c>
      <c r="AI87" t="n">
        <v>8</v>
      </c>
      <c r="AJ87" t="n">
        <v>6</v>
      </c>
      <c r="AK87" t="n">
        <v>7</v>
      </c>
      <c r="AL87" t="n">
        <v>9</v>
      </c>
      <c r="AM87" t="n">
        <v>9</v>
      </c>
      <c r="AN87" t="n">
        <v>4</v>
      </c>
      <c r="AO87" t="n">
        <v>6</v>
      </c>
      <c r="AP87" t="n">
        <v>0</v>
      </c>
      <c r="AQ87" t="n">
        <v>0</v>
      </c>
      <c r="AR87" t="inlineStr">
        <is>
          <t>No</t>
        </is>
      </c>
      <c r="AS87" t="inlineStr">
        <is>
          <t>Yes</t>
        </is>
      </c>
      <c r="AT87">
        <f>HYPERLINK("http://catalog.hathitrust.org/Record/001215792","HathiTrust Record")</f>
        <v/>
      </c>
      <c r="AU87">
        <f>HYPERLINK("https://creighton-primo.hosted.exlibrisgroup.com/primo-explore/search?tab=default_tab&amp;search_scope=EVERYTHING&amp;vid=01CRU&amp;lang=en_US&amp;offset=0&amp;query=any,contains,991004162139702656","Catalog Record")</f>
        <v/>
      </c>
      <c r="AV87">
        <f>HYPERLINK("http://www.worldcat.org/oclc/342353","WorldCat Record")</f>
        <v/>
      </c>
      <c r="AW87" t="inlineStr">
        <is>
          <t>936492629:eng</t>
        </is>
      </c>
      <c r="AX87" t="inlineStr">
        <is>
          <t>342353</t>
        </is>
      </c>
      <c r="AY87" t="inlineStr">
        <is>
          <t>991004162139702656</t>
        </is>
      </c>
      <c r="AZ87" t="inlineStr">
        <is>
          <t>991004162139702656</t>
        </is>
      </c>
      <c r="BA87" t="inlineStr">
        <is>
          <t>2266317610002656</t>
        </is>
      </c>
      <c r="BB87" t="inlineStr">
        <is>
          <t>BOOK</t>
        </is>
      </c>
      <c r="BE87" t="inlineStr">
        <is>
          <t>32285004788450</t>
        </is>
      </c>
      <c r="BF87" t="inlineStr">
        <is>
          <t>893687442</t>
        </is>
      </c>
    </row>
    <row r="88">
      <c r="A88" t="inlineStr">
        <is>
          <t>No</t>
        </is>
      </c>
      <c r="B88" t="inlineStr">
        <is>
          <t>CURAL</t>
        </is>
      </c>
      <c r="C88" t="inlineStr">
        <is>
          <t>SHELVES</t>
        </is>
      </c>
      <c r="D88" t="inlineStr">
        <is>
          <t>PQ2039 .A1 1967</t>
        </is>
      </c>
      <c r="E88" t="inlineStr">
        <is>
          <t>0                      PQ 2039000A  1           1967</t>
        </is>
      </c>
      <c r="F88" t="inlineStr">
        <is>
          <t>La nouvelle Héloise. Étude et analyse par Daniel Mornet.</t>
        </is>
      </c>
      <c r="H88" t="inlineStr">
        <is>
          <t>No</t>
        </is>
      </c>
      <c r="I88" t="inlineStr">
        <is>
          <t>1</t>
        </is>
      </c>
      <c r="J88" t="inlineStr">
        <is>
          <t>No</t>
        </is>
      </c>
      <c r="K88" t="inlineStr">
        <is>
          <t>No</t>
        </is>
      </c>
      <c r="L88" t="inlineStr">
        <is>
          <t>0</t>
        </is>
      </c>
      <c r="M88" t="inlineStr">
        <is>
          <t>Rousseau, Jean-Jacques, 1712-1778.</t>
        </is>
      </c>
      <c r="N88" t="inlineStr">
        <is>
          <t>Paris, Éditions Mellotée [1967]</t>
        </is>
      </c>
      <c r="O88" t="inlineStr">
        <is>
          <t>1967</t>
        </is>
      </c>
      <c r="Q88" t="inlineStr">
        <is>
          <t>fre</t>
        </is>
      </c>
      <c r="R88" t="inlineStr">
        <is>
          <t xml:space="preserve">fr </t>
        </is>
      </c>
      <c r="S88" t="inlineStr">
        <is>
          <t>Les Chefs-d'oeuvre de la littérature expliques</t>
        </is>
      </c>
      <c r="T88" t="inlineStr">
        <is>
          <t xml:space="preserve">PQ </t>
        </is>
      </c>
      <c r="U88" t="n">
        <v>3</v>
      </c>
      <c r="V88" t="n">
        <v>3</v>
      </c>
      <c r="W88" t="inlineStr">
        <is>
          <t>1999-06-16</t>
        </is>
      </c>
      <c r="X88" t="inlineStr">
        <is>
          <t>1999-06-16</t>
        </is>
      </c>
      <c r="Y88" t="inlineStr">
        <is>
          <t>1997-05-12</t>
        </is>
      </c>
      <c r="Z88" t="inlineStr">
        <is>
          <t>1997-05-12</t>
        </is>
      </c>
      <c r="AA88" t="n">
        <v>63</v>
      </c>
      <c r="AB88" t="n">
        <v>57</v>
      </c>
      <c r="AC88" t="n">
        <v>415</v>
      </c>
      <c r="AD88" t="n">
        <v>1</v>
      </c>
      <c r="AE88" t="n">
        <v>3</v>
      </c>
      <c r="AF88" t="n">
        <v>7</v>
      </c>
      <c r="AG88" t="n">
        <v>21</v>
      </c>
      <c r="AH88" t="n">
        <v>4</v>
      </c>
      <c r="AI88" t="n">
        <v>8</v>
      </c>
      <c r="AJ88" t="n">
        <v>1</v>
      </c>
      <c r="AK88" t="n">
        <v>5</v>
      </c>
      <c r="AL88" t="n">
        <v>4</v>
      </c>
      <c r="AM88" t="n">
        <v>13</v>
      </c>
      <c r="AN88" t="n">
        <v>0</v>
      </c>
      <c r="AO88" t="n">
        <v>2</v>
      </c>
      <c r="AP88" t="n">
        <v>0</v>
      </c>
      <c r="AQ88" t="n">
        <v>0</v>
      </c>
      <c r="AR88" t="inlineStr">
        <is>
          <t>No</t>
        </is>
      </c>
      <c r="AS88" t="inlineStr">
        <is>
          <t>No</t>
        </is>
      </c>
      <c r="AU88">
        <f>HYPERLINK("https://creighton-primo.hosted.exlibrisgroup.com/primo-explore/search?tab=default_tab&amp;search_scope=EVERYTHING&amp;vid=01CRU&amp;lang=en_US&amp;offset=0&amp;query=any,contains,991002389249702656","Catalog Record")</f>
        <v/>
      </c>
      <c r="AV88">
        <f>HYPERLINK("http://www.worldcat.org/oclc/331436","WorldCat Record")</f>
        <v/>
      </c>
      <c r="AW88" t="inlineStr">
        <is>
          <t>3373510288:fre</t>
        </is>
      </c>
      <c r="AX88" t="inlineStr">
        <is>
          <t>331436</t>
        </is>
      </c>
      <c r="AY88" t="inlineStr">
        <is>
          <t>991002389249702656</t>
        </is>
      </c>
      <c r="AZ88" t="inlineStr">
        <is>
          <t>991002389249702656</t>
        </is>
      </c>
      <c r="BA88" t="inlineStr">
        <is>
          <t>2258517010002656</t>
        </is>
      </c>
      <c r="BB88" t="inlineStr">
        <is>
          <t>BOOK</t>
        </is>
      </c>
      <c r="BE88" t="inlineStr">
        <is>
          <t>32285002653490</t>
        </is>
      </c>
      <c r="BF88" t="inlineStr">
        <is>
          <t>893873452</t>
        </is>
      </c>
    </row>
    <row r="89">
      <c r="A89" t="inlineStr">
        <is>
          <t>No</t>
        </is>
      </c>
      <c r="B89" t="inlineStr">
        <is>
          <t>CURAL</t>
        </is>
      </c>
      <c r="C89" t="inlineStr">
        <is>
          <t>SHELVES</t>
        </is>
      </c>
      <c r="D89" t="inlineStr">
        <is>
          <t>PQ2043 .G75</t>
        </is>
      </c>
      <c r="E89" t="inlineStr">
        <is>
          <t>0                      PQ 2043000G  75</t>
        </is>
      </c>
      <c r="F89" t="inlineStr">
        <is>
          <t>Jean-Jacques Rousseau : a critical study of his life and writings.</t>
        </is>
      </c>
      <c r="H89" t="inlineStr">
        <is>
          <t>No</t>
        </is>
      </c>
      <c r="I89" t="inlineStr">
        <is>
          <t>1</t>
        </is>
      </c>
      <c r="J89" t="inlineStr">
        <is>
          <t>Yes</t>
        </is>
      </c>
      <c r="K89" t="inlineStr">
        <is>
          <t>No</t>
        </is>
      </c>
      <c r="L89" t="inlineStr">
        <is>
          <t>0</t>
        </is>
      </c>
      <c r="M89" t="inlineStr">
        <is>
          <t>Green, F. C. (Frederick Charles), 1891-1964.</t>
        </is>
      </c>
      <c r="N89" t="inlineStr">
        <is>
          <t>Cambridge, [Eng.] : University Press, 1955.</t>
        </is>
      </c>
      <c r="O89" t="inlineStr">
        <is>
          <t>1955</t>
        </is>
      </c>
      <c r="Q89" t="inlineStr">
        <is>
          <t>eng</t>
        </is>
      </c>
      <c r="R89" t="inlineStr">
        <is>
          <t>enk</t>
        </is>
      </c>
      <c r="T89" t="inlineStr">
        <is>
          <t xml:space="preserve">PQ </t>
        </is>
      </c>
      <c r="U89" t="n">
        <v>4</v>
      </c>
      <c r="V89" t="n">
        <v>6</v>
      </c>
      <c r="W89" t="inlineStr">
        <is>
          <t>2002-12-04</t>
        </is>
      </c>
      <c r="X89" t="inlineStr">
        <is>
          <t>2002-12-04</t>
        </is>
      </c>
      <c r="Y89" t="inlineStr">
        <is>
          <t>1995-03-16</t>
        </is>
      </c>
      <c r="Z89" t="inlineStr">
        <is>
          <t>1995-03-16</t>
        </is>
      </c>
      <c r="AA89" t="n">
        <v>873</v>
      </c>
      <c r="AB89" t="n">
        <v>719</v>
      </c>
      <c r="AC89" t="n">
        <v>936</v>
      </c>
      <c r="AD89" t="n">
        <v>8</v>
      </c>
      <c r="AE89" t="n">
        <v>9</v>
      </c>
      <c r="AF89" t="n">
        <v>41</v>
      </c>
      <c r="AG89" t="n">
        <v>48</v>
      </c>
      <c r="AH89" t="n">
        <v>17</v>
      </c>
      <c r="AI89" t="n">
        <v>19</v>
      </c>
      <c r="AJ89" t="n">
        <v>8</v>
      </c>
      <c r="AK89" t="n">
        <v>10</v>
      </c>
      <c r="AL89" t="n">
        <v>21</v>
      </c>
      <c r="AM89" t="n">
        <v>24</v>
      </c>
      <c r="AN89" t="n">
        <v>7</v>
      </c>
      <c r="AO89" t="n">
        <v>8</v>
      </c>
      <c r="AP89" t="n">
        <v>0</v>
      </c>
      <c r="AQ89" t="n">
        <v>0</v>
      </c>
      <c r="AR89" t="inlineStr">
        <is>
          <t>No</t>
        </is>
      </c>
      <c r="AS89" t="inlineStr">
        <is>
          <t>Yes</t>
        </is>
      </c>
      <c r="AT89">
        <f>HYPERLINK("http://catalog.hathitrust.org/Record/001800983","HathiTrust Record")</f>
        <v/>
      </c>
      <c r="AU89">
        <f>HYPERLINK("https://creighton-primo.hosted.exlibrisgroup.com/primo-explore/search?tab=default_tab&amp;search_scope=EVERYTHING&amp;vid=01CRU&amp;lang=en_US&amp;offset=0&amp;query=any,contains,991002409239702656","Catalog Record")</f>
        <v/>
      </c>
      <c r="AV89">
        <f>HYPERLINK("http://www.worldcat.org/oclc/338930","WorldCat Record")</f>
        <v/>
      </c>
      <c r="AW89" t="inlineStr">
        <is>
          <t>199519594:eng</t>
        </is>
      </c>
      <c r="AX89" t="inlineStr">
        <is>
          <t>338930</t>
        </is>
      </c>
      <c r="AY89" t="inlineStr">
        <is>
          <t>991002409239702656</t>
        </is>
      </c>
      <c r="AZ89" t="inlineStr">
        <is>
          <t>991002409239702656</t>
        </is>
      </c>
      <c r="BA89" t="inlineStr">
        <is>
          <t>2257161130002656</t>
        </is>
      </c>
      <c r="BB89" t="inlineStr">
        <is>
          <t>BOOK</t>
        </is>
      </c>
      <c r="BE89" t="inlineStr">
        <is>
          <t>32285002020260</t>
        </is>
      </c>
      <c r="BF89" t="inlineStr">
        <is>
          <t>893873480</t>
        </is>
      </c>
    </row>
    <row r="90">
      <c r="A90" t="inlineStr">
        <is>
          <t>No</t>
        </is>
      </c>
      <c r="B90" t="inlineStr">
        <is>
          <t>CURAL</t>
        </is>
      </c>
      <c r="C90" t="inlineStr">
        <is>
          <t>SHELVES</t>
        </is>
      </c>
      <c r="D90" t="inlineStr">
        <is>
          <t>PQ2043 .G75</t>
        </is>
      </c>
      <c r="E90" t="inlineStr">
        <is>
          <t>0                      PQ 2043000G  75</t>
        </is>
      </c>
      <c r="F90" t="inlineStr">
        <is>
          <t>Jean-Jacques Rousseau : a critical study of his life and writings.</t>
        </is>
      </c>
      <c r="H90" t="inlineStr">
        <is>
          <t>No</t>
        </is>
      </c>
      <c r="I90" t="inlineStr">
        <is>
          <t>1</t>
        </is>
      </c>
      <c r="J90" t="inlineStr">
        <is>
          <t>Yes</t>
        </is>
      </c>
      <c r="K90" t="inlineStr">
        <is>
          <t>No</t>
        </is>
      </c>
      <c r="L90" t="inlineStr">
        <is>
          <t>0</t>
        </is>
      </c>
      <c r="M90" t="inlineStr">
        <is>
          <t>Green, F. C. (Frederick Charles), 1891-1964.</t>
        </is>
      </c>
      <c r="N90" t="inlineStr">
        <is>
          <t>Cambridge, [Eng.] : University Press, 1955.</t>
        </is>
      </c>
      <c r="O90" t="inlineStr">
        <is>
          <t>1955</t>
        </is>
      </c>
      <c r="Q90" t="inlineStr">
        <is>
          <t>eng</t>
        </is>
      </c>
      <c r="R90" t="inlineStr">
        <is>
          <t>enk</t>
        </is>
      </c>
      <c r="T90" t="inlineStr">
        <is>
          <t xml:space="preserve">PQ </t>
        </is>
      </c>
      <c r="U90" t="n">
        <v>2</v>
      </c>
      <c r="V90" t="n">
        <v>6</v>
      </c>
      <c r="W90" t="inlineStr">
        <is>
          <t>1995-04-23</t>
        </is>
      </c>
      <c r="X90" t="inlineStr">
        <is>
          <t>2002-12-04</t>
        </is>
      </c>
      <c r="Y90" t="inlineStr">
        <is>
          <t>1995-01-27</t>
        </is>
      </c>
      <c r="Z90" t="inlineStr">
        <is>
          <t>1995-03-16</t>
        </is>
      </c>
      <c r="AA90" t="n">
        <v>873</v>
      </c>
      <c r="AB90" t="n">
        <v>719</v>
      </c>
      <c r="AC90" t="n">
        <v>936</v>
      </c>
      <c r="AD90" t="n">
        <v>8</v>
      </c>
      <c r="AE90" t="n">
        <v>9</v>
      </c>
      <c r="AF90" t="n">
        <v>41</v>
      </c>
      <c r="AG90" t="n">
        <v>48</v>
      </c>
      <c r="AH90" t="n">
        <v>17</v>
      </c>
      <c r="AI90" t="n">
        <v>19</v>
      </c>
      <c r="AJ90" t="n">
        <v>8</v>
      </c>
      <c r="AK90" t="n">
        <v>10</v>
      </c>
      <c r="AL90" t="n">
        <v>21</v>
      </c>
      <c r="AM90" t="n">
        <v>24</v>
      </c>
      <c r="AN90" t="n">
        <v>7</v>
      </c>
      <c r="AO90" t="n">
        <v>8</v>
      </c>
      <c r="AP90" t="n">
        <v>0</v>
      </c>
      <c r="AQ90" t="n">
        <v>0</v>
      </c>
      <c r="AR90" t="inlineStr">
        <is>
          <t>No</t>
        </is>
      </c>
      <c r="AS90" t="inlineStr">
        <is>
          <t>Yes</t>
        </is>
      </c>
      <c r="AT90">
        <f>HYPERLINK("http://catalog.hathitrust.org/Record/001800983","HathiTrust Record")</f>
        <v/>
      </c>
      <c r="AU90">
        <f>HYPERLINK("https://creighton-primo.hosted.exlibrisgroup.com/primo-explore/search?tab=default_tab&amp;search_scope=EVERYTHING&amp;vid=01CRU&amp;lang=en_US&amp;offset=0&amp;query=any,contains,991002409239702656","Catalog Record")</f>
        <v/>
      </c>
      <c r="AV90">
        <f>HYPERLINK("http://www.worldcat.org/oclc/338930","WorldCat Record")</f>
        <v/>
      </c>
      <c r="AW90" t="inlineStr">
        <is>
          <t>199519594:eng</t>
        </is>
      </c>
      <c r="AX90" t="inlineStr">
        <is>
          <t>338930</t>
        </is>
      </c>
      <c r="AY90" t="inlineStr">
        <is>
          <t>991002409239702656</t>
        </is>
      </c>
      <c r="AZ90" t="inlineStr">
        <is>
          <t>991002409239702656</t>
        </is>
      </c>
      <c r="BA90" t="inlineStr">
        <is>
          <t>2257161130002656</t>
        </is>
      </c>
      <c r="BB90" t="inlineStr">
        <is>
          <t>BOOK</t>
        </is>
      </c>
      <c r="BE90" t="inlineStr">
        <is>
          <t>32285001987915</t>
        </is>
      </c>
      <c r="BF90" t="inlineStr">
        <is>
          <t>893873479</t>
        </is>
      </c>
    </row>
    <row r="91">
      <c r="A91" t="inlineStr">
        <is>
          <t>No</t>
        </is>
      </c>
      <c r="B91" t="inlineStr">
        <is>
          <t>CURAL</t>
        </is>
      </c>
      <c r="C91" t="inlineStr">
        <is>
          <t>SHELVES</t>
        </is>
      </c>
      <c r="D91" t="inlineStr">
        <is>
          <t>PQ2057.A2 D4 1966</t>
        </is>
      </c>
      <c r="E91" t="inlineStr">
        <is>
          <t>0                      PQ 2057000A  2                  D  4           1966</t>
        </is>
      </c>
      <c r="F91" t="inlineStr">
        <is>
          <t>Jean-Jacques Rousseau et la sensibilité littéraire à la fin du xviiie siècle.</t>
        </is>
      </c>
      <c r="H91" t="inlineStr">
        <is>
          <t>No</t>
        </is>
      </c>
      <c r="I91" t="inlineStr">
        <is>
          <t>1</t>
        </is>
      </c>
      <c r="J91" t="inlineStr">
        <is>
          <t>No</t>
        </is>
      </c>
      <c r="K91" t="inlineStr">
        <is>
          <t>No</t>
        </is>
      </c>
      <c r="L91" t="inlineStr">
        <is>
          <t>0</t>
        </is>
      </c>
      <c r="M91" t="inlineStr">
        <is>
          <t>Dédéyan, Charles.</t>
        </is>
      </c>
      <c r="N91" t="inlineStr">
        <is>
          <t>Paris, Société d'édition d'enseignement supérieur 1966.</t>
        </is>
      </c>
      <c r="O91" t="inlineStr">
        <is>
          <t>1966</t>
        </is>
      </c>
      <c r="Q91" t="inlineStr">
        <is>
          <t>fre</t>
        </is>
      </c>
      <c r="R91" t="inlineStr">
        <is>
          <t>___</t>
        </is>
      </c>
      <c r="T91" t="inlineStr">
        <is>
          <t xml:space="preserve">PQ </t>
        </is>
      </c>
      <c r="U91" t="n">
        <v>2</v>
      </c>
      <c r="V91" t="n">
        <v>2</v>
      </c>
      <c r="W91" t="inlineStr">
        <is>
          <t>1997-09-18</t>
        </is>
      </c>
      <c r="X91" t="inlineStr">
        <is>
          <t>1997-09-18</t>
        </is>
      </c>
      <c r="Y91" t="inlineStr">
        <is>
          <t>1991-05-07</t>
        </is>
      </c>
      <c r="Z91" t="inlineStr">
        <is>
          <t>1991-05-07</t>
        </is>
      </c>
      <c r="AA91" t="n">
        <v>314</v>
      </c>
      <c r="AB91" t="n">
        <v>231</v>
      </c>
      <c r="AC91" t="n">
        <v>240</v>
      </c>
      <c r="AD91" t="n">
        <v>2</v>
      </c>
      <c r="AE91" t="n">
        <v>2</v>
      </c>
      <c r="AF91" t="n">
        <v>13</v>
      </c>
      <c r="AG91" t="n">
        <v>13</v>
      </c>
      <c r="AH91" t="n">
        <v>3</v>
      </c>
      <c r="AI91" t="n">
        <v>3</v>
      </c>
      <c r="AJ91" t="n">
        <v>5</v>
      </c>
      <c r="AK91" t="n">
        <v>5</v>
      </c>
      <c r="AL91" t="n">
        <v>7</v>
      </c>
      <c r="AM91" t="n">
        <v>7</v>
      </c>
      <c r="AN91" t="n">
        <v>1</v>
      </c>
      <c r="AO91" t="n">
        <v>1</v>
      </c>
      <c r="AP91" t="n">
        <v>0</v>
      </c>
      <c r="AQ91" t="n">
        <v>0</v>
      </c>
      <c r="AR91" t="inlineStr">
        <is>
          <t>No</t>
        </is>
      </c>
      <c r="AS91" t="inlineStr">
        <is>
          <t>Yes</t>
        </is>
      </c>
      <c r="AT91">
        <f>HYPERLINK("http://catalog.hathitrust.org/Record/001226005","HathiTrust Record")</f>
        <v/>
      </c>
      <c r="AU91">
        <f>HYPERLINK("https://creighton-primo.hosted.exlibrisgroup.com/primo-explore/search?tab=default_tab&amp;search_scope=EVERYTHING&amp;vid=01CRU&amp;lang=en_US&amp;offset=0&amp;query=any,contains,991002186679702656","Catalog Record")</f>
        <v/>
      </c>
      <c r="AV91">
        <f>HYPERLINK("http://www.worldcat.org/oclc/280049","WorldCat Record")</f>
        <v/>
      </c>
      <c r="AW91" t="inlineStr">
        <is>
          <t>1425222:fre</t>
        </is>
      </c>
      <c r="AX91" t="inlineStr">
        <is>
          <t>280049</t>
        </is>
      </c>
      <c r="AY91" t="inlineStr">
        <is>
          <t>991002186679702656</t>
        </is>
      </c>
      <c r="AZ91" t="inlineStr">
        <is>
          <t>991002186679702656</t>
        </is>
      </c>
      <c r="BA91" t="inlineStr">
        <is>
          <t>2265287120002656</t>
        </is>
      </c>
      <c r="BB91" t="inlineStr">
        <is>
          <t>BOOK</t>
        </is>
      </c>
      <c r="BE91" t="inlineStr">
        <is>
          <t>32285000601814</t>
        </is>
      </c>
      <c r="BF91" t="inlineStr">
        <is>
          <t>893703769</t>
        </is>
      </c>
    </row>
    <row r="92">
      <c r="A92" t="inlineStr">
        <is>
          <t>No</t>
        </is>
      </c>
      <c r="B92" t="inlineStr">
        <is>
          <t>CURAL</t>
        </is>
      </c>
      <c r="C92" t="inlineStr">
        <is>
          <t>SHELVES</t>
        </is>
      </c>
      <c r="D92" t="inlineStr">
        <is>
          <t>PQ2057.S6 S6 1969</t>
        </is>
      </c>
      <c r="E92" t="inlineStr">
        <is>
          <t>0                      PQ 2057000S  6                  S  6           1969</t>
        </is>
      </c>
      <c r="F92" t="inlineStr">
        <is>
          <t>Rousseau in the Spanish world before 1833; a study in Franco-Spanish literary relations.</t>
        </is>
      </c>
      <c r="H92" t="inlineStr">
        <is>
          <t>No</t>
        </is>
      </c>
      <c r="I92" t="inlineStr">
        <is>
          <t>1</t>
        </is>
      </c>
      <c r="J92" t="inlineStr">
        <is>
          <t>No</t>
        </is>
      </c>
      <c r="K92" t="inlineStr">
        <is>
          <t>No</t>
        </is>
      </c>
      <c r="L92" t="inlineStr">
        <is>
          <t>0</t>
        </is>
      </c>
      <c r="M92" t="inlineStr">
        <is>
          <t>Spell, Jefferson Rea, 1886-1967.</t>
        </is>
      </c>
      <c r="N92" t="inlineStr">
        <is>
          <t>New York, Octagon Books, 1969 [c1938]</t>
        </is>
      </c>
      <c r="O92" t="inlineStr">
        <is>
          <t>1969</t>
        </is>
      </c>
      <c r="Q92" t="inlineStr">
        <is>
          <t>eng</t>
        </is>
      </c>
      <c r="R92" t="inlineStr">
        <is>
          <t>nyu</t>
        </is>
      </c>
      <c r="T92" t="inlineStr">
        <is>
          <t xml:space="preserve">PQ </t>
        </is>
      </c>
      <c r="U92" t="n">
        <v>1</v>
      </c>
      <c r="V92" t="n">
        <v>1</v>
      </c>
      <c r="W92" t="inlineStr">
        <is>
          <t>2003-12-10</t>
        </is>
      </c>
      <c r="X92" t="inlineStr">
        <is>
          <t>2003-12-10</t>
        </is>
      </c>
      <c r="Y92" t="inlineStr">
        <is>
          <t>1997-05-13</t>
        </is>
      </c>
      <c r="Z92" t="inlineStr">
        <is>
          <t>1997-05-13</t>
        </is>
      </c>
      <c r="AA92" t="n">
        <v>194</v>
      </c>
      <c r="AB92" t="n">
        <v>162</v>
      </c>
      <c r="AC92" t="n">
        <v>422</v>
      </c>
      <c r="AD92" t="n">
        <v>3</v>
      </c>
      <c r="AE92" t="n">
        <v>3</v>
      </c>
      <c r="AF92" t="n">
        <v>12</v>
      </c>
      <c r="AG92" t="n">
        <v>22</v>
      </c>
      <c r="AH92" t="n">
        <v>4</v>
      </c>
      <c r="AI92" t="n">
        <v>8</v>
      </c>
      <c r="AJ92" t="n">
        <v>1</v>
      </c>
      <c r="AK92" t="n">
        <v>6</v>
      </c>
      <c r="AL92" t="n">
        <v>8</v>
      </c>
      <c r="AM92" t="n">
        <v>12</v>
      </c>
      <c r="AN92" t="n">
        <v>2</v>
      </c>
      <c r="AO92" t="n">
        <v>2</v>
      </c>
      <c r="AP92" t="n">
        <v>0</v>
      </c>
      <c r="AQ92" t="n">
        <v>0</v>
      </c>
      <c r="AR92" t="inlineStr">
        <is>
          <t>No</t>
        </is>
      </c>
      <c r="AS92" t="inlineStr">
        <is>
          <t>No</t>
        </is>
      </c>
      <c r="AU92">
        <f>HYPERLINK("https://creighton-primo.hosted.exlibrisgroup.com/primo-explore/search?tab=default_tab&amp;search_scope=EVERYTHING&amp;vid=01CRU&amp;lang=en_US&amp;offset=0&amp;query=any,contains,991000058579702656","Catalog Record")</f>
        <v/>
      </c>
      <c r="AV92">
        <f>HYPERLINK("http://www.worldcat.org/oclc/24114","WorldCat Record")</f>
        <v/>
      </c>
      <c r="AW92" t="inlineStr">
        <is>
          <t>287542803:eng</t>
        </is>
      </c>
      <c r="AX92" t="inlineStr">
        <is>
          <t>24114</t>
        </is>
      </c>
      <c r="AY92" t="inlineStr">
        <is>
          <t>991000058579702656</t>
        </is>
      </c>
      <c r="AZ92" t="inlineStr">
        <is>
          <t>991000058579702656</t>
        </is>
      </c>
      <c r="BA92" t="inlineStr">
        <is>
          <t>2266687600002656</t>
        </is>
      </c>
      <c r="BB92" t="inlineStr">
        <is>
          <t>BOOK</t>
        </is>
      </c>
      <c r="BE92" t="inlineStr">
        <is>
          <t>32285002653607</t>
        </is>
      </c>
      <c r="BF92" t="inlineStr">
        <is>
          <t>893224697</t>
        </is>
      </c>
    </row>
    <row r="93">
      <c r="A93" t="inlineStr">
        <is>
          <t>No</t>
        </is>
      </c>
      <c r="B93" t="inlineStr">
        <is>
          <t>CURAL</t>
        </is>
      </c>
      <c r="C93" t="inlineStr">
        <is>
          <t>SHELVES</t>
        </is>
      </c>
      <c r="D93" t="inlineStr">
        <is>
          <t>PQ2063.S3 L4413</t>
        </is>
      </c>
      <c r="E93" t="inlineStr">
        <is>
          <t>0                      PQ 2063000S  3                  L  4413</t>
        </is>
      </c>
      <c r="F93" t="inlineStr">
        <is>
          <t>Portrait of De Sade; an illustrated biography. Translated by Sarah Twohig.</t>
        </is>
      </c>
      <c r="H93" t="inlineStr">
        <is>
          <t>No</t>
        </is>
      </c>
      <c r="I93" t="inlineStr">
        <is>
          <t>1</t>
        </is>
      </c>
      <c r="J93" t="inlineStr">
        <is>
          <t>No</t>
        </is>
      </c>
      <c r="K93" t="inlineStr">
        <is>
          <t>No</t>
        </is>
      </c>
      <c r="L93" t="inlineStr">
        <is>
          <t>0</t>
        </is>
      </c>
      <c r="M93" t="inlineStr">
        <is>
          <t>Lennig, Walter.</t>
        </is>
      </c>
      <c r="N93" t="inlineStr">
        <is>
          <t>[New York] Herder and Herder [1971]</t>
        </is>
      </c>
      <c r="O93" t="inlineStr">
        <is>
          <t>1971</t>
        </is>
      </c>
      <c r="Q93" t="inlineStr">
        <is>
          <t>eng</t>
        </is>
      </c>
      <c r="R93" t="inlineStr">
        <is>
          <t>nyu</t>
        </is>
      </c>
      <c r="T93" t="inlineStr">
        <is>
          <t xml:space="preserve">PQ </t>
        </is>
      </c>
      <c r="U93" t="n">
        <v>2</v>
      </c>
      <c r="V93" t="n">
        <v>2</v>
      </c>
      <c r="W93" t="inlineStr">
        <is>
          <t>2005-05-05</t>
        </is>
      </c>
      <c r="X93" t="inlineStr">
        <is>
          <t>2005-05-05</t>
        </is>
      </c>
      <c r="Y93" t="inlineStr">
        <is>
          <t>1997-05-13</t>
        </is>
      </c>
      <c r="Z93" t="inlineStr">
        <is>
          <t>1997-05-13</t>
        </is>
      </c>
      <c r="AA93" t="n">
        <v>247</v>
      </c>
      <c r="AB93" t="n">
        <v>223</v>
      </c>
      <c r="AC93" t="n">
        <v>236</v>
      </c>
      <c r="AD93" t="n">
        <v>4</v>
      </c>
      <c r="AE93" t="n">
        <v>4</v>
      </c>
      <c r="AF93" t="n">
        <v>10</v>
      </c>
      <c r="AG93" t="n">
        <v>10</v>
      </c>
      <c r="AH93" t="n">
        <v>4</v>
      </c>
      <c r="AI93" t="n">
        <v>4</v>
      </c>
      <c r="AJ93" t="n">
        <v>2</v>
      </c>
      <c r="AK93" t="n">
        <v>2</v>
      </c>
      <c r="AL93" t="n">
        <v>4</v>
      </c>
      <c r="AM93" t="n">
        <v>4</v>
      </c>
      <c r="AN93" t="n">
        <v>2</v>
      </c>
      <c r="AO93" t="n">
        <v>2</v>
      </c>
      <c r="AP93" t="n">
        <v>0</v>
      </c>
      <c r="AQ93" t="n">
        <v>0</v>
      </c>
      <c r="AR93" t="inlineStr">
        <is>
          <t>No</t>
        </is>
      </c>
      <c r="AS93" t="inlineStr">
        <is>
          <t>Yes</t>
        </is>
      </c>
      <c r="AT93">
        <f>HYPERLINK("http://catalog.hathitrust.org/Record/001215976","HathiTrust Record")</f>
        <v/>
      </c>
      <c r="AU93">
        <f>HYPERLINK("https://creighton-primo.hosted.exlibrisgroup.com/primo-explore/search?tab=default_tab&amp;search_scope=EVERYTHING&amp;vid=01CRU&amp;lang=en_US&amp;offset=0&amp;query=any,contains,991000829129702656","Catalog Record")</f>
        <v/>
      </c>
      <c r="AV93">
        <f>HYPERLINK("http://www.worldcat.org/oclc/146991","WorldCat Record")</f>
        <v/>
      </c>
      <c r="AW93" t="inlineStr">
        <is>
          <t>1328310:eng</t>
        </is>
      </c>
      <c r="AX93" t="inlineStr">
        <is>
          <t>146991</t>
        </is>
      </c>
      <c r="AY93" t="inlineStr">
        <is>
          <t>991000829129702656</t>
        </is>
      </c>
      <c r="AZ93" t="inlineStr">
        <is>
          <t>991000829129702656</t>
        </is>
      </c>
      <c r="BA93" t="inlineStr">
        <is>
          <t>2258668560002656</t>
        </is>
      </c>
      <c r="BB93" t="inlineStr">
        <is>
          <t>BOOK</t>
        </is>
      </c>
      <c r="BE93" t="inlineStr">
        <is>
          <t>32285002653623</t>
        </is>
      </c>
      <c r="BF93" t="inlineStr">
        <is>
          <t>893496596</t>
        </is>
      </c>
    </row>
    <row r="94">
      <c r="A94" t="inlineStr">
        <is>
          <t>No</t>
        </is>
      </c>
      <c r="B94" t="inlineStr">
        <is>
          <t>CURAL</t>
        </is>
      </c>
      <c r="C94" t="inlineStr">
        <is>
          <t>SHELVES</t>
        </is>
      </c>
      <c r="D94" t="inlineStr">
        <is>
          <t>PQ207 .B56 1986</t>
        </is>
      </c>
      <c r="E94" t="inlineStr">
        <is>
          <t>0                      PQ 0207000B  56          1986</t>
        </is>
      </c>
      <c r="F94" t="inlineStr">
        <is>
          <t>The scandal of the fabliaux / R. Howard Bloch.</t>
        </is>
      </c>
      <c r="H94" t="inlineStr">
        <is>
          <t>No</t>
        </is>
      </c>
      <c r="I94" t="inlineStr">
        <is>
          <t>1</t>
        </is>
      </c>
      <c r="J94" t="inlineStr">
        <is>
          <t>No</t>
        </is>
      </c>
      <c r="K94" t="inlineStr">
        <is>
          <t>No</t>
        </is>
      </c>
      <c r="L94" t="inlineStr">
        <is>
          <t>0</t>
        </is>
      </c>
      <c r="M94" t="inlineStr">
        <is>
          <t>Bloch, R. Howard.</t>
        </is>
      </c>
      <c r="N94" t="inlineStr">
        <is>
          <t>Chicago : University of Chicago Press, 1986.</t>
        </is>
      </c>
      <c r="O94" t="inlineStr">
        <is>
          <t>1986</t>
        </is>
      </c>
      <c r="Q94" t="inlineStr">
        <is>
          <t>eng</t>
        </is>
      </c>
      <c r="R94" t="inlineStr">
        <is>
          <t>ilu</t>
        </is>
      </c>
      <c r="T94" t="inlineStr">
        <is>
          <t xml:space="preserve">PQ </t>
        </is>
      </c>
      <c r="U94" t="n">
        <v>1</v>
      </c>
      <c r="V94" t="n">
        <v>1</v>
      </c>
      <c r="W94" t="inlineStr">
        <is>
          <t>2000-11-08</t>
        </is>
      </c>
      <c r="X94" t="inlineStr">
        <is>
          <t>2000-11-08</t>
        </is>
      </c>
      <c r="Y94" t="inlineStr">
        <is>
          <t>1992-08-03</t>
        </is>
      </c>
      <c r="Z94" t="inlineStr">
        <is>
          <t>1992-08-03</t>
        </is>
      </c>
      <c r="AA94" t="n">
        <v>571</v>
      </c>
      <c r="AB94" t="n">
        <v>457</v>
      </c>
      <c r="AC94" t="n">
        <v>457</v>
      </c>
      <c r="AD94" t="n">
        <v>3</v>
      </c>
      <c r="AE94" t="n">
        <v>3</v>
      </c>
      <c r="AF94" t="n">
        <v>26</v>
      </c>
      <c r="AG94" t="n">
        <v>26</v>
      </c>
      <c r="AH94" t="n">
        <v>9</v>
      </c>
      <c r="AI94" t="n">
        <v>9</v>
      </c>
      <c r="AJ94" t="n">
        <v>8</v>
      </c>
      <c r="AK94" t="n">
        <v>8</v>
      </c>
      <c r="AL94" t="n">
        <v>14</v>
      </c>
      <c r="AM94" t="n">
        <v>14</v>
      </c>
      <c r="AN94" t="n">
        <v>2</v>
      </c>
      <c r="AO94" t="n">
        <v>2</v>
      </c>
      <c r="AP94" t="n">
        <v>0</v>
      </c>
      <c r="AQ94" t="n">
        <v>0</v>
      </c>
      <c r="AR94" t="inlineStr">
        <is>
          <t>No</t>
        </is>
      </c>
      <c r="AS94" t="inlineStr">
        <is>
          <t>No</t>
        </is>
      </c>
      <c r="AU94">
        <f>HYPERLINK("https://creighton-primo.hosted.exlibrisgroup.com/primo-explore/search?tab=default_tab&amp;search_scope=EVERYTHING&amp;vid=01CRU&amp;lang=en_US&amp;offset=0&amp;query=any,contains,991000671649702656","Catalog Record")</f>
        <v/>
      </c>
      <c r="AV94">
        <f>HYPERLINK("http://www.worldcat.org/oclc/12315661","WorldCat Record")</f>
        <v/>
      </c>
      <c r="AW94" t="inlineStr">
        <is>
          <t>4979669:eng</t>
        </is>
      </c>
      <c r="AX94" t="inlineStr">
        <is>
          <t>12315661</t>
        </is>
      </c>
      <c r="AY94" t="inlineStr">
        <is>
          <t>991000671649702656</t>
        </is>
      </c>
      <c r="AZ94" t="inlineStr">
        <is>
          <t>991000671649702656</t>
        </is>
      </c>
      <c r="BA94" t="inlineStr">
        <is>
          <t>2272803180002656</t>
        </is>
      </c>
      <c r="BB94" t="inlineStr">
        <is>
          <t>BOOK</t>
        </is>
      </c>
      <c r="BD94" t="inlineStr">
        <is>
          <t>9780226059761</t>
        </is>
      </c>
      <c r="BE94" t="inlineStr">
        <is>
          <t>32285001250843</t>
        </is>
      </c>
      <c r="BF94" t="inlineStr">
        <is>
          <t>893708599</t>
        </is>
      </c>
    </row>
    <row r="95">
      <c r="A95" t="inlineStr">
        <is>
          <t>No</t>
        </is>
      </c>
      <c r="B95" t="inlineStr">
        <is>
          <t>CURAL</t>
        </is>
      </c>
      <c r="C95" t="inlineStr">
        <is>
          <t>SHELVES</t>
        </is>
      </c>
      <c r="D95" t="inlineStr">
        <is>
          <t>PQ207 .C64</t>
        </is>
      </c>
      <c r="E95" t="inlineStr">
        <is>
          <t>0                      PQ 0207000C  64</t>
        </is>
      </c>
      <c r="F95" t="inlineStr">
        <is>
          <t>The humor of the fabliaux : a collection of critical essays / edited by Thomas D. Cooke, Benjamin L. Honeycutt.</t>
        </is>
      </c>
      <c r="H95" t="inlineStr">
        <is>
          <t>No</t>
        </is>
      </c>
      <c r="I95" t="inlineStr">
        <is>
          <t>1</t>
        </is>
      </c>
      <c r="J95" t="inlineStr">
        <is>
          <t>No</t>
        </is>
      </c>
      <c r="K95" t="inlineStr">
        <is>
          <t>No</t>
        </is>
      </c>
      <c r="L95" t="inlineStr">
        <is>
          <t>0</t>
        </is>
      </c>
      <c r="M95" t="inlineStr">
        <is>
          <t>Cooke, Thomas Darlington, 1933-</t>
        </is>
      </c>
      <c r="N95" t="inlineStr">
        <is>
          <t>Columbia : University of Missouri Press, 1974.</t>
        </is>
      </c>
      <c r="O95" t="inlineStr">
        <is>
          <t>1974</t>
        </is>
      </c>
      <c r="Q95" t="inlineStr">
        <is>
          <t>eng</t>
        </is>
      </c>
      <c r="R95" t="inlineStr">
        <is>
          <t>msu</t>
        </is>
      </c>
      <c r="T95" t="inlineStr">
        <is>
          <t xml:space="preserve">PQ </t>
        </is>
      </c>
      <c r="U95" t="n">
        <v>1</v>
      </c>
      <c r="V95" t="n">
        <v>1</v>
      </c>
      <c r="W95" t="inlineStr">
        <is>
          <t>2000-11-02</t>
        </is>
      </c>
      <c r="X95" t="inlineStr">
        <is>
          <t>2000-11-02</t>
        </is>
      </c>
      <c r="Y95" t="inlineStr">
        <is>
          <t>1997-04-29</t>
        </is>
      </c>
      <c r="Z95" t="inlineStr">
        <is>
          <t>1997-04-29</t>
        </is>
      </c>
      <c r="AA95" t="n">
        <v>760</v>
      </c>
      <c r="AB95" t="n">
        <v>656</v>
      </c>
      <c r="AC95" t="n">
        <v>663</v>
      </c>
      <c r="AD95" t="n">
        <v>7</v>
      </c>
      <c r="AE95" t="n">
        <v>7</v>
      </c>
      <c r="AF95" t="n">
        <v>32</v>
      </c>
      <c r="AG95" t="n">
        <v>32</v>
      </c>
      <c r="AH95" t="n">
        <v>10</v>
      </c>
      <c r="AI95" t="n">
        <v>10</v>
      </c>
      <c r="AJ95" t="n">
        <v>9</v>
      </c>
      <c r="AK95" t="n">
        <v>9</v>
      </c>
      <c r="AL95" t="n">
        <v>16</v>
      </c>
      <c r="AM95" t="n">
        <v>16</v>
      </c>
      <c r="AN95" t="n">
        <v>6</v>
      </c>
      <c r="AO95" t="n">
        <v>6</v>
      </c>
      <c r="AP95" t="n">
        <v>0</v>
      </c>
      <c r="AQ95" t="n">
        <v>0</v>
      </c>
      <c r="AR95" t="inlineStr">
        <is>
          <t>No</t>
        </is>
      </c>
      <c r="AS95" t="inlineStr">
        <is>
          <t>Yes</t>
        </is>
      </c>
      <c r="AT95">
        <f>HYPERLINK("http://catalog.hathitrust.org/Record/001201962","HathiTrust Record")</f>
        <v/>
      </c>
      <c r="AU95">
        <f>HYPERLINK("https://creighton-primo.hosted.exlibrisgroup.com/primo-explore/search?tab=default_tab&amp;search_scope=EVERYTHING&amp;vid=01CRU&amp;lang=en_US&amp;offset=0&amp;query=any,contains,991003627089702656","Catalog Record")</f>
        <v/>
      </c>
      <c r="AV95">
        <f>HYPERLINK("http://www.worldcat.org/oclc/1217601","WorldCat Record")</f>
        <v/>
      </c>
      <c r="AW95" t="inlineStr">
        <is>
          <t>493246:eng</t>
        </is>
      </c>
      <c r="AX95" t="inlineStr">
        <is>
          <t>1217601</t>
        </is>
      </c>
      <c r="AY95" t="inlineStr">
        <is>
          <t>991003627089702656</t>
        </is>
      </c>
      <c r="AZ95" t="inlineStr">
        <is>
          <t>991003627089702656</t>
        </is>
      </c>
      <c r="BA95" t="inlineStr">
        <is>
          <t>2269727800002656</t>
        </is>
      </c>
      <c r="BB95" t="inlineStr">
        <is>
          <t>BOOK</t>
        </is>
      </c>
      <c r="BD95" t="inlineStr">
        <is>
          <t>9780826201683</t>
        </is>
      </c>
      <c r="BE95" t="inlineStr">
        <is>
          <t>32285002589009</t>
        </is>
      </c>
      <c r="BF95" t="inlineStr">
        <is>
          <t>893699217</t>
        </is>
      </c>
    </row>
    <row r="96">
      <c r="A96" t="inlineStr">
        <is>
          <t>No</t>
        </is>
      </c>
      <c r="B96" t="inlineStr">
        <is>
          <t>CURAL</t>
        </is>
      </c>
      <c r="C96" t="inlineStr">
        <is>
          <t>SHELVES</t>
        </is>
      </c>
      <c r="D96" t="inlineStr">
        <is>
          <t>PQ207 .C645</t>
        </is>
      </c>
      <c r="E96" t="inlineStr">
        <is>
          <t>0                      PQ 0207000C  645</t>
        </is>
      </c>
      <c r="F96" t="inlineStr">
        <is>
          <t>The Old French and Chaucerian fabliaux : a study of their comic climax / Thomas D. Cooke.</t>
        </is>
      </c>
      <c r="H96" t="inlineStr">
        <is>
          <t>No</t>
        </is>
      </c>
      <c r="I96" t="inlineStr">
        <is>
          <t>1</t>
        </is>
      </c>
      <c r="J96" t="inlineStr">
        <is>
          <t>No</t>
        </is>
      </c>
      <c r="K96" t="inlineStr">
        <is>
          <t>No</t>
        </is>
      </c>
      <c r="L96" t="inlineStr">
        <is>
          <t>0</t>
        </is>
      </c>
      <c r="M96" t="inlineStr">
        <is>
          <t>Cooke, Thomas Darlington, 1933-</t>
        </is>
      </c>
      <c r="N96" t="inlineStr">
        <is>
          <t>Columbia : University of Missouri Press, 1978.</t>
        </is>
      </c>
      <c r="O96" t="inlineStr">
        <is>
          <t>1978</t>
        </is>
      </c>
      <c r="Q96" t="inlineStr">
        <is>
          <t>eng</t>
        </is>
      </c>
      <c r="R96" t="inlineStr">
        <is>
          <t>mou</t>
        </is>
      </c>
      <c r="T96" t="inlineStr">
        <is>
          <t xml:space="preserve">PQ </t>
        </is>
      </c>
      <c r="U96" t="n">
        <v>2</v>
      </c>
      <c r="V96" t="n">
        <v>2</v>
      </c>
      <c r="W96" t="inlineStr">
        <is>
          <t>2000-11-30</t>
        </is>
      </c>
      <c r="X96" t="inlineStr">
        <is>
          <t>2000-11-30</t>
        </is>
      </c>
      <c r="Y96" t="inlineStr">
        <is>
          <t>1997-04-29</t>
        </is>
      </c>
      <c r="Z96" t="inlineStr">
        <is>
          <t>1997-04-29</t>
        </is>
      </c>
      <c r="AA96" t="n">
        <v>656</v>
      </c>
      <c r="AB96" t="n">
        <v>538</v>
      </c>
      <c r="AC96" t="n">
        <v>545</v>
      </c>
      <c r="AD96" t="n">
        <v>5</v>
      </c>
      <c r="AE96" t="n">
        <v>5</v>
      </c>
      <c r="AF96" t="n">
        <v>30</v>
      </c>
      <c r="AG96" t="n">
        <v>30</v>
      </c>
      <c r="AH96" t="n">
        <v>10</v>
      </c>
      <c r="AI96" t="n">
        <v>10</v>
      </c>
      <c r="AJ96" t="n">
        <v>7</v>
      </c>
      <c r="AK96" t="n">
        <v>7</v>
      </c>
      <c r="AL96" t="n">
        <v>18</v>
      </c>
      <c r="AM96" t="n">
        <v>18</v>
      </c>
      <c r="AN96" t="n">
        <v>4</v>
      </c>
      <c r="AO96" t="n">
        <v>4</v>
      </c>
      <c r="AP96" t="n">
        <v>0</v>
      </c>
      <c r="AQ96" t="n">
        <v>0</v>
      </c>
      <c r="AR96" t="inlineStr">
        <is>
          <t>No</t>
        </is>
      </c>
      <c r="AS96" t="inlineStr">
        <is>
          <t>Yes</t>
        </is>
      </c>
      <c r="AT96">
        <f>HYPERLINK("http://catalog.hathitrust.org/Record/000254130","HathiTrust Record")</f>
        <v/>
      </c>
      <c r="AU96">
        <f>HYPERLINK("https://creighton-primo.hosted.exlibrisgroup.com/primo-explore/search?tab=default_tab&amp;search_scope=EVERYTHING&amp;vid=01CRU&amp;lang=en_US&amp;offset=0&amp;query=any,contains,991004340729702656","Catalog Record")</f>
        <v/>
      </c>
      <c r="AV96">
        <f>HYPERLINK("http://www.worldcat.org/oclc/3089128","WorldCat Record")</f>
        <v/>
      </c>
      <c r="AW96" t="inlineStr">
        <is>
          <t>8079263:eng</t>
        </is>
      </c>
      <c r="AX96" t="inlineStr">
        <is>
          <t>3089128</t>
        </is>
      </c>
      <c r="AY96" t="inlineStr">
        <is>
          <t>991004340729702656</t>
        </is>
      </c>
      <c r="AZ96" t="inlineStr">
        <is>
          <t>991004340729702656</t>
        </is>
      </c>
      <c r="BA96" t="inlineStr">
        <is>
          <t>2262855020002656</t>
        </is>
      </c>
      <c r="BB96" t="inlineStr">
        <is>
          <t>BOOK</t>
        </is>
      </c>
      <c r="BD96" t="inlineStr">
        <is>
          <t>9780826202253</t>
        </is>
      </c>
      <c r="BE96" t="inlineStr">
        <is>
          <t>32285002589017</t>
        </is>
      </c>
      <c r="BF96" t="inlineStr">
        <is>
          <t>893882356</t>
        </is>
      </c>
    </row>
    <row r="97">
      <c r="A97" t="inlineStr">
        <is>
          <t>No</t>
        </is>
      </c>
      <c r="B97" t="inlineStr">
        <is>
          <t>CURAL</t>
        </is>
      </c>
      <c r="C97" t="inlineStr">
        <is>
          <t>SHELVES</t>
        </is>
      </c>
      <c r="D97" t="inlineStr">
        <is>
          <t>PQ2099 .L3</t>
        </is>
      </c>
      <c r="E97" t="inlineStr">
        <is>
          <t>0                      PQ 2099000L  3</t>
        </is>
      </c>
      <c r="F97" t="inlineStr">
        <is>
          <t>Voltaire / par Gustave Lanson.</t>
        </is>
      </c>
      <c r="H97" t="inlineStr">
        <is>
          <t>No</t>
        </is>
      </c>
      <c r="I97" t="inlineStr">
        <is>
          <t>1</t>
        </is>
      </c>
      <c r="J97" t="inlineStr">
        <is>
          <t>No</t>
        </is>
      </c>
      <c r="K97" t="inlineStr">
        <is>
          <t>No</t>
        </is>
      </c>
      <c r="L97" t="inlineStr">
        <is>
          <t>0</t>
        </is>
      </c>
      <c r="M97" t="inlineStr">
        <is>
          <t>Lanson, Gustave, 1857-1934.</t>
        </is>
      </c>
      <c r="N97" t="inlineStr">
        <is>
          <t>Paris : Hachette et cie, 1906.</t>
        </is>
      </c>
      <c r="O97" t="inlineStr">
        <is>
          <t>1906</t>
        </is>
      </c>
      <c r="Q97" t="inlineStr">
        <is>
          <t>fre</t>
        </is>
      </c>
      <c r="R97" t="inlineStr">
        <is>
          <t xml:space="preserve">fr </t>
        </is>
      </c>
      <c r="S97" t="inlineStr">
        <is>
          <t>Les grands écrivains français</t>
        </is>
      </c>
      <c r="T97" t="inlineStr">
        <is>
          <t xml:space="preserve">PQ </t>
        </is>
      </c>
      <c r="U97" t="n">
        <v>3</v>
      </c>
      <c r="V97" t="n">
        <v>3</v>
      </c>
      <c r="W97" t="inlineStr">
        <is>
          <t>1997-09-02</t>
        </is>
      </c>
      <c r="X97" t="inlineStr">
        <is>
          <t>1997-09-02</t>
        </is>
      </c>
      <c r="Y97" t="inlineStr">
        <is>
          <t>1992-12-18</t>
        </is>
      </c>
      <c r="Z97" t="inlineStr">
        <is>
          <t>1992-12-18</t>
        </is>
      </c>
      <c r="AA97" t="n">
        <v>217</v>
      </c>
      <c r="AB97" t="n">
        <v>163</v>
      </c>
      <c r="AC97" t="n">
        <v>333</v>
      </c>
      <c r="AD97" t="n">
        <v>2</v>
      </c>
      <c r="AE97" t="n">
        <v>2</v>
      </c>
      <c r="AF97" t="n">
        <v>10</v>
      </c>
      <c r="AG97" t="n">
        <v>14</v>
      </c>
      <c r="AH97" t="n">
        <v>3</v>
      </c>
      <c r="AI97" t="n">
        <v>3</v>
      </c>
      <c r="AJ97" t="n">
        <v>4</v>
      </c>
      <c r="AK97" t="n">
        <v>4</v>
      </c>
      <c r="AL97" t="n">
        <v>4</v>
      </c>
      <c r="AM97" t="n">
        <v>8</v>
      </c>
      <c r="AN97" t="n">
        <v>1</v>
      </c>
      <c r="AO97" t="n">
        <v>1</v>
      </c>
      <c r="AP97" t="n">
        <v>0</v>
      </c>
      <c r="AQ97" t="n">
        <v>0</v>
      </c>
      <c r="AR97" t="inlineStr">
        <is>
          <t>Yes</t>
        </is>
      </c>
      <c r="AS97" t="inlineStr">
        <is>
          <t>No</t>
        </is>
      </c>
      <c r="AT97">
        <f>HYPERLINK("http://catalog.hathitrust.org/Record/001217414","HathiTrust Record")</f>
        <v/>
      </c>
      <c r="AU97">
        <f>HYPERLINK("https://creighton-primo.hosted.exlibrisgroup.com/primo-explore/search?tab=default_tab&amp;search_scope=EVERYTHING&amp;vid=01CRU&amp;lang=en_US&amp;offset=0&amp;query=any,contains,991004251179702656","Catalog Record")</f>
        <v/>
      </c>
      <c r="AV97">
        <f>HYPERLINK("http://www.worldcat.org/oclc/2812886","WorldCat Record")</f>
        <v/>
      </c>
      <c r="AW97" t="inlineStr">
        <is>
          <t>4916918977:fre</t>
        </is>
      </c>
      <c r="AX97" t="inlineStr">
        <is>
          <t>2812886</t>
        </is>
      </c>
      <c r="AY97" t="inlineStr">
        <is>
          <t>991004251179702656</t>
        </is>
      </c>
      <c r="AZ97" t="inlineStr">
        <is>
          <t>991004251179702656</t>
        </is>
      </c>
      <c r="BA97" t="inlineStr">
        <is>
          <t>2261874210002656</t>
        </is>
      </c>
      <c r="BB97" t="inlineStr">
        <is>
          <t>BOOK</t>
        </is>
      </c>
      <c r="BE97" t="inlineStr">
        <is>
          <t>32285001444651</t>
        </is>
      </c>
      <c r="BF97" t="inlineStr">
        <is>
          <t>893810431</t>
        </is>
      </c>
    </row>
    <row r="98">
      <c r="A98" t="inlineStr">
        <is>
          <t>No</t>
        </is>
      </c>
      <c r="B98" t="inlineStr">
        <is>
          <t>CURAL</t>
        </is>
      </c>
      <c r="C98" t="inlineStr">
        <is>
          <t>SHELVES</t>
        </is>
      </c>
      <c r="D98" t="inlineStr">
        <is>
          <t>PQ2126.W6 A3</t>
        </is>
      </c>
      <c r="E98" t="inlineStr">
        <is>
          <t>0                      PQ 2126000W  6                  A  3</t>
        </is>
      </c>
      <c r="F98" t="inlineStr">
        <is>
          <t>La femme dans les contes et les romans de Voltaire / D. J. Adams.</t>
        </is>
      </c>
      <c r="H98" t="inlineStr">
        <is>
          <t>No</t>
        </is>
      </c>
      <c r="I98" t="inlineStr">
        <is>
          <t>1</t>
        </is>
      </c>
      <c r="J98" t="inlineStr">
        <is>
          <t>No</t>
        </is>
      </c>
      <c r="K98" t="inlineStr">
        <is>
          <t>No</t>
        </is>
      </c>
      <c r="L98" t="inlineStr">
        <is>
          <t>0</t>
        </is>
      </c>
      <c r="M98" t="inlineStr">
        <is>
          <t>Adams, D. J. (David J.)</t>
        </is>
      </c>
      <c r="N98" t="inlineStr">
        <is>
          <t>Paris : A. G. Nizet, 1974.</t>
        </is>
      </c>
      <c r="O98" t="inlineStr">
        <is>
          <t>1974</t>
        </is>
      </c>
      <c r="Q98" t="inlineStr">
        <is>
          <t>fre</t>
        </is>
      </c>
      <c r="R98" t="inlineStr">
        <is>
          <t xml:space="preserve">fr </t>
        </is>
      </c>
      <c r="T98" t="inlineStr">
        <is>
          <t xml:space="preserve">PQ </t>
        </is>
      </c>
      <c r="U98" t="n">
        <v>9</v>
      </c>
      <c r="V98" t="n">
        <v>9</v>
      </c>
      <c r="W98" t="inlineStr">
        <is>
          <t>1999-02-17</t>
        </is>
      </c>
      <c r="X98" t="inlineStr">
        <is>
          <t>1999-02-17</t>
        </is>
      </c>
      <c r="Y98" t="inlineStr">
        <is>
          <t>1992-12-18</t>
        </is>
      </c>
      <c r="Z98" t="inlineStr">
        <is>
          <t>1992-12-18</t>
        </is>
      </c>
      <c r="AA98" t="n">
        <v>252</v>
      </c>
      <c r="AB98" t="n">
        <v>160</v>
      </c>
      <c r="AC98" t="n">
        <v>163</v>
      </c>
      <c r="AD98" t="n">
        <v>2</v>
      </c>
      <c r="AE98" t="n">
        <v>2</v>
      </c>
      <c r="AF98" t="n">
        <v>8</v>
      </c>
      <c r="AG98" t="n">
        <v>8</v>
      </c>
      <c r="AH98" t="n">
        <v>1</v>
      </c>
      <c r="AI98" t="n">
        <v>1</v>
      </c>
      <c r="AJ98" t="n">
        <v>3</v>
      </c>
      <c r="AK98" t="n">
        <v>3</v>
      </c>
      <c r="AL98" t="n">
        <v>4</v>
      </c>
      <c r="AM98" t="n">
        <v>4</v>
      </c>
      <c r="AN98" t="n">
        <v>1</v>
      </c>
      <c r="AO98" t="n">
        <v>1</v>
      </c>
      <c r="AP98" t="n">
        <v>0</v>
      </c>
      <c r="AQ98" t="n">
        <v>0</v>
      </c>
      <c r="AR98" t="inlineStr">
        <is>
          <t>No</t>
        </is>
      </c>
      <c r="AS98" t="inlineStr">
        <is>
          <t>Yes</t>
        </is>
      </c>
      <c r="AT98">
        <f>HYPERLINK("http://catalog.hathitrust.org/Record/001217393","HathiTrust Record")</f>
        <v/>
      </c>
      <c r="AU98">
        <f>HYPERLINK("https://creighton-primo.hosted.exlibrisgroup.com/primo-explore/search?tab=default_tab&amp;search_scope=EVERYTHING&amp;vid=01CRU&amp;lang=en_US&amp;offset=0&amp;query=any,contains,991003676609702656","Catalog Record")</f>
        <v/>
      </c>
      <c r="AV98">
        <f>HYPERLINK("http://www.worldcat.org/oclc/1298277","WorldCat Record")</f>
        <v/>
      </c>
      <c r="AW98" t="inlineStr">
        <is>
          <t>358005524:fre</t>
        </is>
      </c>
      <c r="AX98" t="inlineStr">
        <is>
          <t>1298277</t>
        </is>
      </c>
      <c r="AY98" t="inlineStr">
        <is>
          <t>991003676609702656</t>
        </is>
      </c>
      <c r="AZ98" t="inlineStr">
        <is>
          <t>991003676609702656</t>
        </is>
      </c>
      <c r="BA98" t="inlineStr">
        <is>
          <t>2263966660002656</t>
        </is>
      </c>
      <c r="BB98" t="inlineStr">
        <is>
          <t>BOOK</t>
        </is>
      </c>
      <c r="BE98" t="inlineStr">
        <is>
          <t>32285001444644</t>
        </is>
      </c>
      <c r="BF98" t="inlineStr">
        <is>
          <t>893598839</t>
        </is>
      </c>
    </row>
    <row r="99">
      <c r="A99" t="inlineStr">
        <is>
          <t>No</t>
        </is>
      </c>
      <c r="B99" t="inlineStr">
        <is>
          <t>CURAL</t>
        </is>
      </c>
      <c r="C99" t="inlineStr">
        <is>
          <t>SHELVES</t>
        </is>
      </c>
      <c r="D99" t="inlineStr">
        <is>
          <t>PQ2159.C72 H8 1964</t>
        </is>
      </c>
      <c r="E99" t="inlineStr">
        <is>
          <t>0                      PQ 2159000C  72                 H  8           1964</t>
        </is>
      </c>
      <c r="F99" t="inlineStr">
        <is>
          <t>Balzac's Comédie humaine / by Herbert J. Hunt.</t>
        </is>
      </c>
      <c r="H99" t="inlineStr">
        <is>
          <t>No</t>
        </is>
      </c>
      <c r="I99" t="inlineStr">
        <is>
          <t>1</t>
        </is>
      </c>
      <c r="J99" t="inlineStr">
        <is>
          <t>No</t>
        </is>
      </c>
      <c r="K99" t="inlineStr">
        <is>
          <t>No</t>
        </is>
      </c>
      <c r="L99" t="inlineStr">
        <is>
          <t>0</t>
        </is>
      </c>
      <c r="M99" t="inlineStr">
        <is>
          <t>Hunt, Herbert J., 1899-1973.</t>
        </is>
      </c>
      <c r="N99" t="inlineStr">
        <is>
          <t>[London] : University of London, Athlone Press, [1964]</t>
        </is>
      </c>
      <c r="O99" t="inlineStr">
        <is>
          <t>1964</t>
        </is>
      </c>
      <c r="Q99" t="inlineStr">
        <is>
          <t>fre</t>
        </is>
      </c>
      <c r="R99" t="inlineStr">
        <is>
          <t>enk</t>
        </is>
      </c>
      <c r="T99" t="inlineStr">
        <is>
          <t xml:space="preserve">PQ </t>
        </is>
      </c>
      <c r="U99" t="n">
        <v>1</v>
      </c>
      <c r="V99" t="n">
        <v>1</v>
      </c>
      <c r="W99" t="inlineStr">
        <is>
          <t>2002-01-30</t>
        </is>
      </c>
      <c r="X99" t="inlineStr">
        <is>
          <t>2002-01-30</t>
        </is>
      </c>
      <c r="Y99" t="inlineStr">
        <is>
          <t>2002-01-30</t>
        </is>
      </c>
      <c r="Z99" t="inlineStr">
        <is>
          <t>2002-01-30</t>
        </is>
      </c>
      <c r="AA99" t="n">
        <v>311</v>
      </c>
      <c r="AB99" t="n">
        <v>260</v>
      </c>
      <c r="AC99" t="n">
        <v>267</v>
      </c>
      <c r="AD99" t="n">
        <v>3</v>
      </c>
      <c r="AE99" t="n">
        <v>3</v>
      </c>
      <c r="AF99" t="n">
        <v>10</v>
      </c>
      <c r="AG99" t="n">
        <v>10</v>
      </c>
      <c r="AH99" t="n">
        <v>5</v>
      </c>
      <c r="AI99" t="n">
        <v>5</v>
      </c>
      <c r="AJ99" t="n">
        <v>3</v>
      </c>
      <c r="AK99" t="n">
        <v>3</v>
      </c>
      <c r="AL99" t="n">
        <v>5</v>
      </c>
      <c r="AM99" t="n">
        <v>5</v>
      </c>
      <c r="AN99" t="n">
        <v>2</v>
      </c>
      <c r="AO99" t="n">
        <v>2</v>
      </c>
      <c r="AP99" t="n">
        <v>0</v>
      </c>
      <c r="AQ99" t="n">
        <v>0</v>
      </c>
      <c r="AR99" t="inlineStr">
        <is>
          <t>No</t>
        </is>
      </c>
      <c r="AS99" t="inlineStr">
        <is>
          <t>Yes</t>
        </is>
      </c>
      <c r="AT99">
        <f>HYPERLINK("http://catalog.hathitrust.org/Record/007288677","HathiTrust Record")</f>
        <v/>
      </c>
      <c r="AU99">
        <f>HYPERLINK("https://creighton-primo.hosted.exlibrisgroup.com/primo-explore/search?tab=default_tab&amp;search_scope=EVERYTHING&amp;vid=01CRU&amp;lang=en_US&amp;offset=0&amp;query=any,contains,991003718349702656","Catalog Record")</f>
        <v/>
      </c>
      <c r="AV99">
        <f>HYPERLINK("http://www.worldcat.org/oclc/338880","WorldCat Record")</f>
        <v/>
      </c>
      <c r="AW99" t="inlineStr">
        <is>
          <t>1466364:fre</t>
        </is>
      </c>
      <c r="AX99" t="inlineStr">
        <is>
          <t>338880</t>
        </is>
      </c>
      <c r="AY99" t="inlineStr">
        <is>
          <t>991003718349702656</t>
        </is>
      </c>
      <c r="AZ99" t="inlineStr">
        <is>
          <t>991003718349702656</t>
        </is>
      </c>
      <c r="BA99" t="inlineStr">
        <is>
          <t>2257202820002656</t>
        </is>
      </c>
      <c r="BB99" t="inlineStr">
        <is>
          <t>BOOK</t>
        </is>
      </c>
      <c r="BE99" t="inlineStr">
        <is>
          <t>32285004450689</t>
        </is>
      </c>
      <c r="BF99" t="inlineStr">
        <is>
          <t>893868757</t>
        </is>
      </c>
    </row>
    <row r="100">
      <c r="A100" t="inlineStr">
        <is>
          <t>No</t>
        </is>
      </c>
      <c r="B100" t="inlineStr">
        <is>
          <t>CURAL</t>
        </is>
      </c>
      <c r="C100" t="inlineStr">
        <is>
          <t>SHELVES</t>
        </is>
      </c>
      <c r="D100" t="inlineStr">
        <is>
          <t>PQ2178 .M333 1966</t>
        </is>
      </c>
      <c r="E100" t="inlineStr">
        <is>
          <t>0                      PQ 2178000M  333         1966</t>
        </is>
      </c>
      <c r="F100" t="inlineStr">
        <is>
          <t>Prometheus : the life of Balzac / translated by Norman Denny.</t>
        </is>
      </c>
      <c r="H100" t="inlineStr">
        <is>
          <t>No</t>
        </is>
      </c>
      <c r="I100" t="inlineStr">
        <is>
          <t>1</t>
        </is>
      </c>
      <c r="J100" t="inlineStr">
        <is>
          <t>No</t>
        </is>
      </c>
      <c r="K100" t="inlineStr">
        <is>
          <t>No</t>
        </is>
      </c>
      <c r="L100" t="inlineStr">
        <is>
          <t>0</t>
        </is>
      </c>
      <c r="M100" t="inlineStr">
        <is>
          <t>Maurois, André, 1885-1967.</t>
        </is>
      </c>
      <c r="N100" t="inlineStr">
        <is>
          <t>New York : Harper &amp; Row, [1966, c1965]</t>
        </is>
      </c>
      <c r="O100" t="inlineStr">
        <is>
          <t>1966</t>
        </is>
      </c>
      <c r="P100" t="inlineStr">
        <is>
          <t>[1st ed.]</t>
        </is>
      </c>
      <c r="Q100" t="inlineStr">
        <is>
          <t>eng</t>
        </is>
      </c>
      <c r="R100" t="inlineStr">
        <is>
          <t>nyu</t>
        </is>
      </c>
      <c r="T100" t="inlineStr">
        <is>
          <t xml:space="preserve">PQ </t>
        </is>
      </c>
      <c r="U100" t="n">
        <v>1</v>
      </c>
      <c r="V100" t="n">
        <v>1</v>
      </c>
      <c r="W100" t="inlineStr">
        <is>
          <t>2001-02-14</t>
        </is>
      </c>
      <c r="X100" t="inlineStr">
        <is>
          <t>2001-02-14</t>
        </is>
      </c>
      <c r="Y100" t="inlineStr">
        <is>
          <t>1993-03-16</t>
        </is>
      </c>
      <c r="Z100" t="inlineStr">
        <is>
          <t>1993-03-16</t>
        </is>
      </c>
      <c r="AA100" t="n">
        <v>1502</v>
      </c>
      <c r="AB100" t="n">
        <v>1457</v>
      </c>
      <c r="AC100" t="n">
        <v>1724</v>
      </c>
      <c r="AD100" t="n">
        <v>11</v>
      </c>
      <c r="AE100" t="n">
        <v>12</v>
      </c>
      <c r="AF100" t="n">
        <v>46</v>
      </c>
      <c r="AG100" t="n">
        <v>55</v>
      </c>
      <c r="AH100" t="n">
        <v>21</v>
      </c>
      <c r="AI100" t="n">
        <v>23</v>
      </c>
      <c r="AJ100" t="n">
        <v>6</v>
      </c>
      <c r="AK100" t="n">
        <v>9</v>
      </c>
      <c r="AL100" t="n">
        <v>16</v>
      </c>
      <c r="AM100" t="n">
        <v>22</v>
      </c>
      <c r="AN100" t="n">
        <v>10</v>
      </c>
      <c r="AO100" t="n">
        <v>11</v>
      </c>
      <c r="AP100" t="n">
        <v>0</v>
      </c>
      <c r="AQ100" t="n">
        <v>0</v>
      </c>
      <c r="AR100" t="inlineStr">
        <is>
          <t>No</t>
        </is>
      </c>
      <c r="AS100" t="inlineStr">
        <is>
          <t>No</t>
        </is>
      </c>
      <c r="AU100">
        <f>HYPERLINK("https://creighton-primo.hosted.exlibrisgroup.com/primo-explore/search?tab=default_tab&amp;search_scope=EVERYTHING&amp;vid=01CRU&amp;lang=en_US&amp;offset=0&amp;query=any,contains,991004096729702656","Catalog Record")</f>
        <v/>
      </c>
      <c r="AV100">
        <f>HYPERLINK("http://www.worldcat.org/oclc/2360260","WorldCat Record")</f>
        <v/>
      </c>
      <c r="AW100" t="inlineStr">
        <is>
          <t>3377369925:eng</t>
        </is>
      </c>
      <c r="AX100" t="inlineStr">
        <is>
          <t>2360260</t>
        </is>
      </c>
      <c r="AY100" t="inlineStr">
        <is>
          <t>991004096729702656</t>
        </is>
      </c>
      <c r="AZ100" t="inlineStr">
        <is>
          <t>991004096729702656</t>
        </is>
      </c>
      <c r="BA100" t="inlineStr">
        <is>
          <t>2272804970002656</t>
        </is>
      </c>
      <c r="BB100" t="inlineStr">
        <is>
          <t>BOOK</t>
        </is>
      </c>
      <c r="BE100" t="inlineStr">
        <is>
          <t>32285001572840</t>
        </is>
      </c>
      <c r="BF100" t="inlineStr">
        <is>
          <t>893705988</t>
        </is>
      </c>
    </row>
    <row r="101">
      <c r="A101" t="inlineStr">
        <is>
          <t>No</t>
        </is>
      </c>
      <c r="B101" t="inlineStr">
        <is>
          <t>CURAL</t>
        </is>
      </c>
      <c r="C101" t="inlineStr">
        <is>
          <t>SHELVES</t>
        </is>
      </c>
      <c r="D101" t="inlineStr">
        <is>
          <t>PQ2178 .P74 1973b</t>
        </is>
      </c>
      <c r="E101" t="inlineStr">
        <is>
          <t>0                      PQ 2178000P  74          1973b</t>
        </is>
      </c>
      <c r="F101" t="inlineStr">
        <is>
          <t>Balzac [by] V. S. Pritchett.</t>
        </is>
      </c>
      <c r="H101" t="inlineStr">
        <is>
          <t>No</t>
        </is>
      </c>
      <c r="I101" t="inlineStr">
        <is>
          <t>1</t>
        </is>
      </c>
      <c r="J101" t="inlineStr">
        <is>
          <t>No</t>
        </is>
      </c>
      <c r="K101" t="inlineStr">
        <is>
          <t>No</t>
        </is>
      </c>
      <c r="L101" t="inlineStr">
        <is>
          <t>0</t>
        </is>
      </c>
      <c r="M101" t="inlineStr">
        <is>
          <t>Pritchett, V. S. (Victor Sawdon), 1900-1997.</t>
        </is>
      </c>
      <c r="N101" t="inlineStr">
        <is>
          <t>London, Chatto &amp; Windus, 1973.</t>
        </is>
      </c>
      <c r="O101" t="inlineStr">
        <is>
          <t>1973</t>
        </is>
      </c>
      <c r="Q101" t="inlineStr">
        <is>
          <t>eng</t>
        </is>
      </c>
      <c r="R101" t="inlineStr">
        <is>
          <t>enk</t>
        </is>
      </c>
      <c r="T101" t="inlineStr">
        <is>
          <t xml:space="preserve">PQ </t>
        </is>
      </c>
      <c r="U101" t="n">
        <v>2</v>
      </c>
      <c r="V101" t="n">
        <v>2</v>
      </c>
      <c r="W101" t="inlineStr">
        <is>
          <t>2002-11-05</t>
        </is>
      </c>
      <c r="X101" t="inlineStr">
        <is>
          <t>2002-11-05</t>
        </is>
      </c>
      <c r="Y101" t="inlineStr">
        <is>
          <t>1997-05-13</t>
        </is>
      </c>
      <c r="Z101" t="inlineStr">
        <is>
          <t>1997-05-13</t>
        </is>
      </c>
      <c r="AA101" t="n">
        <v>196</v>
      </c>
      <c r="AB101" t="n">
        <v>59</v>
      </c>
      <c r="AC101" t="n">
        <v>1010</v>
      </c>
      <c r="AD101" t="n">
        <v>2</v>
      </c>
      <c r="AE101" t="n">
        <v>8</v>
      </c>
      <c r="AF101" t="n">
        <v>3</v>
      </c>
      <c r="AG101" t="n">
        <v>28</v>
      </c>
      <c r="AH101" t="n">
        <v>1</v>
      </c>
      <c r="AI101" t="n">
        <v>10</v>
      </c>
      <c r="AJ101" t="n">
        <v>0</v>
      </c>
      <c r="AK101" t="n">
        <v>7</v>
      </c>
      <c r="AL101" t="n">
        <v>2</v>
      </c>
      <c r="AM101" t="n">
        <v>16</v>
      </c>
      <c r="AN101" t="n">
        <v>1</v>
      </c>
      <c r="AO101" t="n">
        <v>5</v>
      </c>
      <c r="AP101" t="n">
        <v>0</v>
      </c>
      <c r="AQ101" t="n">
        <v>0</v>
      </c>
      <c r="AR101" t="inlineStr">
        <is>
          <t>No</t>
        </is>
      </c>
      <c r="AS101" t="inlineStr">
        <is>
          <t>Yes</t>
        </is>
      </c>
      <c r="AT101">
        <f>HYPERLINK("http://catalog.hathitrust.org/Record/001203663","HathiTrust Record")</f>
        <v/>
      </c>
      <c r="AU101">
        <f>HYPERLINK("https://creighton-primo.hosted.exlibrisgroup.com/primo-explore/search?tab=default_tab&amp;search_scope=EVERYTHING&amp;vid=01CRU&amp;lang=en_US&amp;offset=0&amp;query=any,contains,991003237299702656","Catalog Record")</f>
        <v/>
      </c>
      <c r="AV101">
        <f>HYPERLINK("http://www.worldcat.org/oclc/761688","WorldCat Record")</f>
        <v/>
      </c>
      <c r="AW101" t="inlineStr">
        <is>
          <t>57069166:eng</t>
        </is>
      </c>
      <c r="AX101" t="inlineStr">
        <is>
          <t>761688</t>
        </is>
      </c>
      <c r="AY101" t="inlineStr">
        <is>
          <t>991003237299702656</t>
        </is>
      </c>
      <c r="AZ101" t="inlineStr">
        <is>
          <t>991003237299702656</t>
        </is>
      </c>
      <c r="BA101" t="inlineStr">
        <is>
          <t>2267872730002656</t>
        </is>
      </c>
      <c r="BB101" t="inlineStr">
        <is>
          <t>BOOK</t>
        </is>
      </c>
      <c r="BD101" t="inlineStr">
        <is>
          <t>9780701119522</t>
        </is>
      </c>
      <c r="BE101" t="inlineStr">
        <is>
          <t>32285002653904</t>
        </is>
      </c>
      <c r="BF101" t="inlineStr">
        <is>
          <t>893610843</t>
        </is>
      </c>
    </row>
    <row r="102">
      <c r="A102" t="inlineStr">
        <is>
          <t>No</t>
        </is>
      </c>
      <c r="B102" t="inlineStr">
        <is>
          <t>CURAL</t>
        </is>
      </c>
      <c r="C102" t="inlineStr">
        <is>
          <t>SHELVES</t>
        </is>
      </c>
      <c r="D102" t="inlineStr">
        <is>
          <t>PQ2178 .R48 1994</t>
        </is>
      </c>
      <c r="E102" t="inlineStr">
        <is>
          <t>0                      PQ 2178000R  48          1994</t>
        </is>
      </c>
      <c r="F102" t="inlineStr">
        <is>
          <t>Balzac : a life / Graham Robb.</t>
        </is>
      </c>
      <c r="H102" t="inlineStr">
        <is>
          <t>No</t>
        </is>
      </c>
      <c r="I102" t="inlineStr">
        <is>
          <t>1</t>
        </is>
      </c>
      <c r="J102" t="inlineStr">
        <is>
          <t>No</t>
        </is>
      </c>
      <c r="K102" t="inlineStr">
        <is>
          <t>No</t>
        </is>
      </c>
      <c r="L102" t="inlineStr">
        <is>
          <t>0</t>
        </is>
      </c>
      <c r="M102" t="inlineStr">
        <is>
          <t>Robb, Graham, 1958-</t>
        </is>
      </c>
      <c r="N102" t="inlineStr">
        <is>
          <t>New York : Norton, 1994.</t>
        </is>
      </c>
      <c r="O102" t="inlineStr">
        <is>
          <t>1994</t>
        </is>
      </c>
      <c r="P102" t="inlineStr">
        <is>
          <t>1st American ed.</t>
        </is>
      </c>
      <c r="Q102" t="inlineStr">
        <is>
          <t>eng</t>
        </is>
      </c>
      <c r="R102" t="inlineStr">
        <is>
          <t>nyu</t>
        </is>
      </c>
      <c r="T102" t="inlineStr">
        <is>
          <t xml:space="preserve">PQ </t>
        </is>
      </c>
      <c r="U102" t="n">
        <v>3</v>
      </c>
      <c r="V102" t="n">
        <v>3</v>
      </c>
      <c r="W102" t="inlineStr">
        <is>
          <t>2002-11-05</t>
        </is>
      </c>
      <c r="X102" t="inlineStr">
        <is>
          <t>2002-11-05</t>
        </is>
      </c>
      <c r="Y102" t="inlineStr">
        <is>
          <t>1994-10-05</t>
        </is>
      </c>
      <c r="Z102" t="inlineStr">
        <is>
          <t>1994-10-05</t>
        </is>
      </c>
      <c r="AA102" t="n">
        <v>1052</v>
      </c>
      <c r="AB102" t="n">
        <v>994</v>
      </c>
      <c r="AC102" t="n">
        <v>1000</v>
      </c>
      <c r="AD102" t="n">
        <v>6</v>
      </c>
      <c r="AE102" t="n">
        <v>6</v>
      </c>
      <c r="AF102" t="n">
        <v>42</v>
      </c>
      <c r="AG102" t="n">
        <v>42</v>
      </c>
      <c r="AH102" t="n">
        <v>19</v>
      </c>
      <c r="AI102" t="n">
        <v>19</v>
      </c>
      <c r="AJ102" t="n">
        <v>10</v>
      </c>
      <c r="AK102" t="n">
        <v>10</v>
      </c>
      <c r="AL102" t="n">
        <v>19</v>
      </c>
      <c r="AM102" t="n">
        <v>19</v>
      </c>
      <c r="AN102" t="n">
        <v>4</v>
      </c>
      <c r="AO102" t="n">
        <v>4</v>
      </c>
      <c r="AP102" t="n">
        <v>0</v>
      </c>
      <c r="AQ102" t="n">
        <v>0</v>
      </c>
      <c r="AR102" t="inlineStr">
        <is>
          <t>No</t>
        </is>
      </c>
      <c r="AS102" t="inlineStr">
        <is>
          <t>No</t>
        </is>
      </c>
      <c r="AU102">
        <f>HYPERLINK("https://creighton-primo.hosted.exlibrisgroup.com/primo-explore/search?tab=default_tab&amp;search_scope=EVERYTHING&amp;vid=01CRU&amp;lang=en_US&amp;offset=0&amp;query=any,contains,991002337919702656","Catalog Record")</f>
        <v/>
      </c>
      <c r="AV102">
        <f>HYPERLINK("http://www.worldcat.org/oclc/30436965","WorldCat Record")</f>
        <v/>
      </c>
      <c r="AW102" t="inlineStr">
        <is>
          <t>3943791691:eng</t>
        </is>
      </c>
      <c r="AX102" t="inlineStr">
        <is>
          <t>30436965</t>
        </is>
      </c>
      <c r="AY102" t="inlineStr">
        <is>
          <t>991002337919702656</t>
        </is>
      </c>
      <c r="AZ102" t="inlineStr">
        <is>
          <t>991002337919702656</t>
        </is>
      </c>
      <c r="BA102" t="inlineStr">
        <is>
          <t>2259472590002656</t>
        </is>
      </c>
      <c r="BB102" t="inlineStr">
        <is>
          <t>BOOK</t>
        </is>
      </c>
      <c r="BD102" t="inlineStr">
        <is>
          <t>9780393036794</t>
        </is>
      </c>
      <c r="BE102" t="inlineStr">
        <is>
          <t>32285001948669</t>
        </is>
      </c>
      <c r="BF102" t="inlineStr">
        <is>
          <t>893245047</t>
        </is>
      </c>
    </row>
    <row r="103">
      <c r="A103" t="inlineStr">
        <is>
          <t>No</t>
        </is>
      </c>
      <c r="B103" t="inlineStr">
        <is>
          <t>CURAL</t>
        </is>
      </c>
      <c r="C103" t="inlineStr">
        <is>
          <t>SHELVES</t>
        </is>
      </c>
      <c r="D103" t="inlineStr">
        <is>
          <t>PQ2181 .F44</t>
        </is>
      </c>
      <c r="E103" t="inlineStr">
        <is>
          <t>0                      PQ 2181000F  44</t>
        </is>
      </c>
      <c r="F103" t="inlineStr">
        <is>
          <t>Honoré de Balzac / by Diana Festa-McCormick.</t>
        </is>
      </c>
      <c r="H103" t="inlineStr">
        <is>
          <t>No</t>
        </is>
      </c>
      <c r="I103" t="inlineStr">
        <is>
          <t>1</t>
        </is>
      </c>
      <c r="J103" t="inlineStr">
        <is>
          <t>No</t>
        </is>
      </c>
      <c r="K103" t="inlineStr">
        <is>
          <t>No</t>
        </is>
      </c>
      <c r="L103" t="inlineStr">
        <is>
          <t>0</t>
        </is>
      </c>
      <c r="M103" t="inlineStr">
        <is>
          <t>Festa-McCormick, Diana.</t>
        </is>
      </c>
      <c r="N103" t="inlineStr">
        <is>
          <t>Boston : Twayne, 1979.</t>
        </is>
      </c>
      <c r="O103" t="inlineStr">
        <is>
          <t>1979</t>
        </is>
      </c>
      <c r="Q103" t="inlineStr">
        <is>
          <t>eng</t>
        </is>
      </c>
      <c r="R103" t="inlineStr">
        <is>
          <t>mau</t>
        </is>
      </c>
      <c r="S103" t="inlineStr">
        <is>
          <t>Twayne's world authors series ; TWAS 541 : France</t>
        </is>
      </c>
      <c r="T103" t="inlineStr">
        <is>
          <t xml:space="preserve">PQ </t>
        </is>
      </c>
      <c r="U103" t="n">
        <v>3</v>
      </c>
      <c r="V103" t="n">
        <v>3</v>
      </c>
      <c r="W103" t="inlineStr">
        <is>
          <t>1998-06-20</t>
        </is>
      </c>
      <c r="X103" t="inlineStr">
        <is>
          <t>1998-06-20</t>
        </is>
      </c>
      <c r="Y103" t="inlineStr">
        <is>
          <t>1991-05-09</t>
        </is>
      </c>
      <c r="Z103" t="inlineStr">
        <is>
          <t>1991-05-09</t>
        </is>
      </c>
      <c r="AA103" t="n">
        <v>951</v>
      </c>
      <c r="AB103" t="n">
        <v>865</v>
      </c>
      <c r="AC103" t="n">
        <v>1023</v>
      </c>
      <c r="AD103" t="n">
        <v>3</v>
      </c>
      <c r="AE103" t="n">
        <v>5</v>
      </c>
      <c r="AF103" t="n">
        <v>30</v>
      </c>
      <c r="AG103" t="n">
        <v>36</v>
      </c>
      <c r="AH103" t="n">
        <v>14</v>
      </c>
      <c r="AI103" t="n">
        <v>15</v>
      </c>
      <c r="AJ103" t="n">
        <v>6</v>
      </c>
      <c r="AK103" t="n">
        <v>8</v>
      </c>
      <c r="AL103" t="n">
        <v>18</v>
      </c>
      <c r="AM103" t="n">
        <v>19</v>
      </c>
      <c r="AN103" t="n">
        <v>2</v>
      </c>
      <c r="AO103" t="n">
        <v>4</v>
      </c>
      <c r="AP103" t="n">
        <v>0</v>
      </c>
      <c r="AQ103" t="n">
        <v>0</v>
      </c>
      <c r="AR103" t="inlineStr">
        <is>
          <t>No</t>
        </is>
      </c>
      <c r="AS103" t="inlineStr">
        <is>
          <t>Yes</t>
        </is>
      </c>
      <c r="AT103">
        <f>HYPERLINK("http://catalog.hathitrust.org/Record/000259326","HathiTrust Record")</f>
        <v/>
      </c>
      <c r="AU103">
        <f>HYPERLINK("https://creighton-primo.hosted.exlibrisgroup.com/primo-explore/search?tab=default_tab&amp;search_scope=EVERYTHING&amp;vid=01CRU&amp;lang=en_US&amp;offset=0&amp;query=any,contains,991004688509702656","Catalog Record")</f>
        <v/>
      </c>
      <c r="AV103">
        <f>HYPERLINK("http://www.worldcat.org/oclc/4593647","WorldCat Record")</f>
        <v/>
      </c>
      <c r="AW103" t="inlineStr">
        <is>
          <t>1813297056:eng</t>
        </is>
      </c>
      <c r="AX103" t="inlineStr">
        <is>
          <t>4593647</t>
        </is>
      </c>
      <c r="AY103" t="inlineStr">
        <is>
          <t>991004688509702656</t>
        </is>
      </c>
      <c r="AZ103" t="inlineStr">
        <is>
          <t>991004688509702656</t>
        </is>
      </c>
      <c r="BA103" t="inlineStr">
        <is>
          <t>2271380500002656</t>
        </is>
      </c>
      <c r="BB103" t="inlineStr">
        <is>
          <t>BOOK</t>
        </is>
      </c>
      <c r="BD103" t="inlineStr">
        <is>
          <t>9780805763836</t>
        </is>
      </c>
      <c r="BE103" t="inlineStr">
        <is>
          <t>32285000602465</t>
        </is>
      </c>
      <c r="BF103" t="inlineStr">
        <is>
          <t>893612649</t>
        </is>
      </c>
    </row>
    <row r="104">
      <c r="A104" t="inlineStr">
        <is>
          <t>No</t>
        </is>
      </c>
      <c r="B104" t="inlineStr">
        <is>
          <t>CURAL</t>
        </is>
      </c>
      <c r="C104" t="inlineStr">
        <is>
          <t>SHELVES</t>
        </is>
      </c>
      <c r="D104" t="inlineStr">
        <is>
          <t>PQ2184.F54 B35 1990</t>
        </is>
      </c>
      <c r="E104" t="inlineStr">
        <is>
          <t>0                      PQ 2184000F  54                 B  35          1990</t>
        </is>
      </c>
      <c r="F104" t="inlineStr">
        <is>
          <t>Balzac cinéaste / Anne-Marie Baron.</t>
        </is>
      </c>
      <c r="H104" t="inlineStr">
        <is>
          <t>No</t>
        </is>
      </c>
      <c r="I104" t="inlineStr">
        <is>
          <t>1</t>
        </is>
      </c>
      <c r="J104" t="inlineStr">
        <is>
          <t>No</t>
        </is>
      </c>
      <c r="K104" t="inlineStr">
        <is>
          <t>No</t>
        </is>
      </c>
      <c r="L104" t="inlineStr">
        <is>
          <t>0</t>
        </is>
      </c>
      <c r="M104" t="inlineStr">
        <is>
          <t>Baron, Anne-Marie.</t>
        </is>
      </c>
      <c r="N104" t="inlineStr">
        <is>
          <t>Paris : Méridiens-Klincksieck, 1990.</t>
        </is>
      </c>
      <c r="O104" t="inlineStr">
        <is>
          <t>1990</t>
        </is>
      </c>
      <c r="Q104" t="inlineStr">
        <is>
          <t>fre</t>
        </is>
      </c>
      <c r="R104" t="inlineStr">
        <is>
          <t xml:space="preserve">fr </t>
        </is>
      </c>
      <c r="T104" t="inlineStr">
        <is>
          <t xml:space="preserve">PQ </t>
        </is>
      </c>
      <c r="U104" t="n">
        <v>1</v>
      </c>
      <c r="V104" t="n">
        <v>1</v>
      </c>
      <c r="W104" t="inlineStr">
        <is>
          <t>2001-02-14</t>
        </is>
      </c>
      <c r="X104" t="inlineStr">
        <is>
          <t>2001-02-14</t>
        </is>
      </c>
      <c r="Y104" t="inlineStr">
        <is>
          <t>1995-05-31</t>
        </is>
      </c>
      <c r="Z104" t="inlineStr">
        <is>
          <t>1995-05-31</t>
        </is>
      </c>
      <c r="AA104" t="n">
        <v>114</v>
      </c>
      <c r="AB104" t="n">
        <v>66</v>
      </c>
      <c r="AC104" t="n">
        <v>67</v>
      </c>
      <c r="AD104" t="n">
        <v>2</v>
      </c>
      <c r="AE104" t="n">
        <v>2</v>
      </c>
      <c r="AF104" t="n">
        <v>4</v>
      </c>
      <c r="AG104" t="n">
        <v>4</v>
      </c>
      <c r="AH104" t="n">
        <v>1</v>
      </c>
      <c r="AI104" t="n">
        <v>1</v>
      </c>
      <c r="AJ104" t="n">
        <v>2</v>
      </c>
      <c r="AK104" t="n">
        <v>2</v>
      </c>
      <c r="AL104" t="n">
        <v>2</v>
      </c>
      <c r="AM104" t="n">
        <v>2</v>
      </c>
      <c r="AN104" t="n">
        <v>1</v>
      </c>
      <c r="AO104" t="n">
        <v>1</v>
      </c>
      <c r="AP104" t="n">
        <v>0</v>
      </c>
      <c r="AQ104" t="n">
        <v>0</v>
      </c>
      <c r="AR104" t="inlineStr">
        <is>
          <t>No</t>
        </is>
      </c>
      <c r="AS104" t="inlineStr">
        <is>
          <t>Yes</t>
        </is>
      </c>
      <c r="AT104">
        <f>HYPERLINK("http://catalog.hathitrust.org/Record/002438012","HathiTrust Record")</f>
        <v/>
      </c>
      <c r="AU104">
        <f>HYPERLINK("https://creighton-primo.hosted.exlibrisgroup.com/primo-explore/search?tab=default_tab&amp;search_scope=EVERYTHING&amp;vid=01CRU&amp;lang=en_US&amp;offset=0&amp;query=any,contains,991001889939702656","Catalog Record")</f>
        <v/>
      </c>
      <c r="AV104">
        <f>HYPERLINK("http://www.worldcat.org/oclc/23863172","WorldCat Record")</f>
        <v/>
      </c>
      <c r="AW104" t="inlineStr">
        <is>
          <t>25004961:fre</t>
        </is>
      </c>
      <c r="AX104" t="inlineStr">
        <is>
          <t>23863172</t>
        </is>
      </c>
      <c r="AY104" t="inlineStr">
        <is>
          <t>991001889939702656</t>
        </is>
      </c>
      <c r="AZ104" t="inlineStr">
        <is>
          <t>991001889939702656</t>
        </is>
      </c>
      <c r="BA104" t="inlineStr">
        <is>
          <t>2271732830002656</t>
        </is>
      </c>
      <c r="BB104" t="inlineStr">
        <is>
          <t>BOOK</t>
        </is>
      </c>
      <c r="BD104" t="inlineStr">
        <is>
          <t>9782865632688</t>
        </is>
      </c>
      <c r="BE104" t="inlineStr">
        <is>
          <t>32285002048170</t>
        </is>
      </c>
      <c r="BF104" t="inlineStr">
        <is>
          <t>893322327</t>
        </is>
      </c>
    </row>
    <row r="105">
      <c r="A105" t="inlineStr">
        <is>
          <t>No</t>
        </is>
      </c>
      <c r="B105" t="inlineStr">
        <is>
          <t>CURAL</t>
        </is>
      </c>
      <c r="C105" t="inlineStr">
        <is>
          <t>SHELVES</t>
        </is>
      </c>
      <c r="D105" t="inlineStr">
        <is>
          <t>PQ2191 .A1 1968</t>
        </is>
      </c>
      <c r="E105" t="inlineStr">
        <is>
          <t>0                      PQ 2191000A  1           1968</t>
        </is>
      </c>
      <c r="F105" t="inlineStr">
        <is>
          <t>Œuvres complètes / Baudelaire ; préface, présentation et notes de Marcel A. Ruff.</t>
        </is>
      </c>
      <c r="H105" t="inlineStr">
        <is>
          <t>No</t>
        </is>
      </c>
      <c r="I105" t="inlineStr">
        <is>
          <t>1</t>
        </is>
      </c>
      <c r="J105" t="inlineStr">
        <is>
          <t>No</t>
        </is>
      </c>
      <c r="K105" t="inlineStr">
        <is>
          <t>Yes</t>
        </is>
      </c>
      <c r="L105" t="inlineStr">
        <is>
          <t>0</t>
        </is>
      </c>
      <c r="M105" t="inlineStr">
        <is>
          <t>Baudelaire, Charles, 1821-1867.</t>
        </is>
      </c>
      <c r="N105" t="inlineStr">
        <is>
          <t>Paris : Éditions du Seuil, 1968.</t>
        </is>
      </c>
      <c r="O105" t="inlineStr">
        <is>
          <t>1968</t>
        </is>
      </c>
      <c r="Q105" t="inlineStr">
        <is>
          <t>fre</t>
        </is>
      </c>
      <c r="R105" t="inlineStr">
        <is>
          <t xml:space="preserve">fr </t>
        </is>
      </c>
      <c r="S105" t="inlineStr">
        <is>
          <t>L'Intégrale</t>
        </is>
      </c>
      <c r="T105" t="inlineStr">
        <is>
          <t xml:space="preserve">PQ </t>
        </is>
      </c>
      <c r="U105" t="n">
        <v>2</v>
      </c>
      <c r="V105" t="n">
        <v>2</v>
      </c>
      <c r="W105" t="inlineStr">
        <is>
          <t>2005-03-14</t>
        </is>
      </c>
      <c r="X105" t="inlineStr">
        <is>
          <t>2005-03-14</t>
        </is>
      </c>
      <c r="Y105" t="inlineStr">
        <is>
          <t>2000-10-05</t>
        </is>
      </c>
      <c r="Z105" t="inlineStr">
        <is>
          <t>2000-10-05</t>
        </is>
      </c>
      <c r="AA105" t="n">
        <v>244</v>
      </c>
      <c r="AB105" t="n">
        <v>156</v>
      </c>
      <c r="AC105" t="n">
        <v>676</v>
      </c>
      <c r="AD105" t="n">
        <v>1</v>
      </c>
      <c r="AE105" t="n">
        <v>3</v>
      </c>
      <c r="AF105" t="n">
        <v>11</v>
      </c>
      <c r="AG105" t="n">
        <v>42</v>
      </c>
      <c r="AH105" t="n">
        <v>3</v>
      </c>
      <c r="AI105" t="n">
        <v>19</v>
      </c>
      <c r="AJ105" t="n">
        <v>3</v>
      </c>
      <c r="AK105" t="n">
        <v>9</v>
      </c>
      <c r="AL105" t="n">
        <v>8</v>
      </c>
      <c r="AM105" t="n">
        <v>24</v>
      </c>
      <c r="AN105" t="n">
        <v>0</v>
      </c>
      <c r="AO105" t="n">
        <v>2</v>
      </c>
      <c r="AP105" t="n">
        <v>0</v>
      </c>
      <c r="AQ105" t="n">
        <v>0</v>
      </c>
      <c r="AR105" t="inlineStr">
        <is>
          <t>No</t>
        </is>
      </c>
      <c r="AS105" t="inlineStr">
        <is>
          <t>Yes</t>
        </is>
      </c>
      <c r="AT105">
        <f>HYPERLINK("http://catalog.hathitrust.org/Record/001792181","HathiTrust Record")</f>
        <v/>
      </c>
      <c r="AU105">
        <f>HYPERLINK("https://creighton-primo.hosted.exlibrisgroup.com/primo-explore/search?tab=default_tab&amp;search_scope=EVERYTHING&amp;vid=01CRU&amp;lang=en_US&amp;offset=0&amp;query=any,contains,991003306709702656","Catalog Record")</f>
        <v/>
      </c>
      <c r="AV105">
        <f>HYPERLINK("http://www.worldcat.org/oclc/342314","WorldCat Record")</f>
        <v/>
      </c>
      <c r="AW105" t="inlineStr">
        <is>
          <t>4131167235:fre</t>
        </is>
      </c>
      <c r="AX105" t="inlineStr">
        <is>
          <t>342314</t>
        </is>
      </c>
      <c r="AY105" t="inlineStr">
        <is>
          <t>991003306709702656</t>
        </is>
      </c>
      <c r="AZ105" t="inlineStr">
        <is>
          <t>991003306709702656</t>
        </is>
      </c>
      <c r="BA105" t="inlineStr">
        <is>
          <t>2266307300002656</t>
        </is>
      </c>
      <c r="BB105" t="inlineStr">
        <is>
          <t>BOOK</t>
        </is>
      </c>
      <c r="BE105" t="inlineStr">
        <is>
          <t>32285003766978</t>
        </is>
      </c>
      <c r="BF105" t="inlineStr">
        <is>
          <t>893410152</t>
        </is>
      </c>
    </row>
    <row r="106">
      <c r="A106" t="inlineStr">
        <is>
          <t>No</t>
        </is>
      </c>
      <c r="B106" t="inlineStr">
        <is>
          <t>CURAL</t>
        </is>
      </c>
      <c r="C106" t="inlineStr">
        <is>
          <t>SHELVES</t>
        </is>
      </c>
      <c r="D106" t="inlineStr">
        <is>
          <t>PQ2191.Z5 B42</t>
        </is>
      </c>
      <c r="E106" t="inlineStr">
        <is>
          <t>0                      PQ 2191000Z  5                  B  42</t>
        </is>
      </c>
      <c r="F106" t="inlineStr">
        <is>
          <t>Baudelaire and Freud / Leo Bersani. --</t>
        </is>
      </c>
      <c r="H106" t="inlineStr">
        <is>
          <t>No</t>
        </is>
      </c>
      <c r="I106" t="inlineStr">
        <is>
          <t>1</t>
        </is>
      </c>
      <c r="J106" t="inlineStr">
        <is>
          <t>No</t>
        </is>
      </c>
      <c r="K106" t="inlineStr">
        <is>
          <t>No</t>
        </is>
      </c>
      <c r="L106" t="inlineStr">
        <is>
          <t>0</t>
        </is>
      </c>
      <c r="M106" t="inlineStr">
        <is>
          <t>Bersani, Leo.</t>
        </is>
      </c>
      <c r="N106" t="inlineStr">
        <is>
          <t>Berkeley : University of California Press, c1977.</t>
        </is>
      </c>
      <c r="O106" t="inlineStr">
        <is>
          <t>1977</t>
        </is>
      </c>
      <c r="Q106" t="inlineStr">
        <is>
          <t>eng</t>
        </is>
      </c>
      <c r="R106" t="inlineStr">
        <is>
          <t>cau</t>
        </is>
      </c>
      <c r="S106" t="inlineStr">
        <is>
          <t>A Quantum book</t>
        </is>
      </c>
      <c r="T106" t="inlineStr">
        <is>
          <t xml:space="preserve">PQ </t>
        </is>
      </c>
      <c r="U106" t="n">
        <v>9</v>
      </c>
      <c r="V106" t="n">
        <v>9</v>
      </c>
      <c r="W106" t="inlineStr">
        <is>
          <t>1997-11-13</t>
        </is>
      </c>
      <c r="X106" t="inlineStr">
        <is>
          <t>1997-11-13</t>
        </is>
      </c>
      <c r="Y106" t="inlineStr">
        <is>
          <t>1991-05-09</t>
        </is>
      </c>
      <c r="Z106" t="inlineStr">
        <is>
          <t>1991-05-09</t>
        </is>
      </c>
      <c r="AA106" t="n">
        <v>644</v>
      </c>
      <c r="AB106" t="n">
        <v>511</v>
      </c>
      <c r="AC106" t="n">
        <v>525</v>
      </c>
      <c r="AD106" t="n">
        <v>3</v>
      </c>
      <c r="AE106" t="n">
        <v>3</v>
      </c>
      <c r="AF106" t="n">
        <v>25</v>
      </c>
      <c r="AG106" t="n">
        <v>25</v>
      </c>
      <c r="AH106" t="n">
        <v>8</v>
      </c>
      <c r="AI106" t="n">
        <v>8</v>
      </c>
      <c r="AJ106" t="n">
        <v>6</v>
      </c>
      <c r="AK106" t="n">
        <v>6</v>
      </c>
      <c r="AL106" t="n">
        <v>14</v>
      </c>
      <c r="AM106" t="n">
        <v>14</v>
      </c>
      <c r="AN106" t="n">
        <v>2</v>
      </c>
      <c r="AO106" t="n">
        <v>2</v>
      </c>
      <c r="AP106" t="n">
        <v>0</v>
      </c>
      <c r="AQ106" t="n">
        <v>0</v>
      </c>
      <c r="AR106" t="inlineStr">
        <is>
          <t>No</t>
        </is>
      </c>
      <c r="AS106" t="inlineStr">
        <is>
          <t>No</t>
        </is>
      </c>
      <c r="AU106">
        <f>HYPERLINK("https://creighton-primo.hosted.exlibrisgroup.com/primo-explore/search?tab=default_tab&amp;search_scope=EVERYTHING&amp;vid=01CRU&amp;lang=en_US&amp;offset=0&amp;query=any,contains,991004478159702656","Catalog Record")</f>
        <v/>
      </c>
      <c r="AV106">
        <f>HYPERLINK("http://www.worldcat.org/oclc/3616375","WorldCat Record")</f>
        <v/>
      </c>
      <c r="AW106" t="inlineStr">
        <is>
          <t>180396696:eng</t>
        </is>
      </c>
      <c r="AX106" t="inlineStr">
        <is>
          <t>3616375</t>
        </is>
      </c>
      <c r="AY106" t="inlineStr">
        <is>
          <t>991004478159702656</t>
        </is>
      </c>
      <c r="AZ106" t="inlineStr">
        <is>
          <t>991004478159702656</t>
        </is>
      </c>
      <c r="BA106" t="inlineStr">
        <is>
          <t>2266969920002656</t>
        </is>
      </c>
      <c r="BB106" t="inlineStr">
        <is>
          <t>BOOK</t>
        </is>
      </c>
      <c r="BD106" t="inlineStr">
        <is>
          <t>9780520034020</t>
        </is>
      </c>
      <c r="BE106" t="inlineStr">
        <is>
          <t>32285000602531</t>
        </is>
      </c>
      <c r="BF106" t="inlineStr">
        <is>
          <t>893888762</t>
        </is>
      </c>
    </row>
    <row r="107">
      <c r="A107" t="inlineStr">
        <is>
          <t>No</t>
        </is>
      </c>
      <c r="B107" t="inlineStr">
        <is>
          <t>CURAL</t>
        </is>
      </c>
      <c r="C107" t="inlineStr">
        <is>
          <t>SHELVES</t>
        </is>
      </c>
      <c r="D107" t="inlineStr">
        <is>
          <t>PQ2191.Z5 C314</t>
        </is>
      </c>
      <c r="E107" t="inlineStr">
        <is>
          <t>0                      PQ 2191000Z  5                  C  314</t>
        </is>
      </c>
      <c r="F107" t="inlineStr">
        <is>
          <t>Charles Baudelaire / by A.E. Carter.</t>
        </is>
      </c>
      <c r="H107" t="inlineStr">
        <is>
          <t>No</t>
        </is>
      </c>
      <c r="I107" t="inlineStr">
        <is>
          <t>1</t>
        </is>
      </c>
      <c r="J107" t="inlineStr">
        <is>
          <t>No</t>
        </is>
      </c>
      <c r="K107" t="inlineStr">
        <is>
          <t>No</t>
        </is>
      </c>
      <c r="L107" t="inlineStr">
        <is>
          <t>0</t>
        </is>
      </c>
      <c r="M107" t="inlineStr">
        <is>
          <t>Carter, A. E. (Alfred Edward)</t>
        </is>
      </c>
      <c r="N107" t="inlineStr">
        <is>
          <t>Boston : Twayne, c1977.</t>
        </is>
      </c>
      <c r="O107" t="inlineStr">
        <is>
          <t>1977</t>
        </is>
      </c>
      <c r="Q107" t="inlineStr">
        <is>
          <t>eng</t>
        </is>
      </c>
      <c r="R107" t="inlineStr">
        <is>
          <t>mau</t>
        </is>
      </c>
      <c r="S107" t="inlineStr">
        <is>
          <t>Twayne's world authors series ; TWAS 429 : France</t>
        </is>
      </c>
      <c r="T107" t="inlineStr">
        <is>
          <t xml:space="preserve">PQ </t>
        </is>
      </c>
      <c r="U107" t="n">
        <v>11</v>
      </c>
      <c r="V107" t="n">
        <v>11</v>
      </c>
      <c r="W107" t="inlineStr">
        <is>
          <t>2005-03-03</t>
        </is>
      </c>
      <c r="X107" t="inlineStr">
        <is>
          <t>2005-03-03</t>
        </is>
      </c>
      <c r="Y107" t="inlineStr">
        <is>
          <t>1994-06-10</t>
        </is>
      </c>
      <c r="Z107" t="inlineStr">
        <is>
          <t>1994-06-10</t>
        </is>
      </c>
      <c r="AA107" t="n">
        <v>871</v>
      </c>
      <c r="AB107" t="n">
        <v>773</v>
      </c>
      <c r="AC107" t="n">
        <v>780</v>
      </c>
      <c r="AD107" t="n">
        <v>4</v>
      </c>
      <c r="AE107" t="n">
        <v>4</v>
      </c>
      <c r="AF107" t="n">
        <v>27</v>
      </c>
      <c r="AG107" t="n">
        <v>27</v>
      </c>
      <c r="AH107" t="n">
        <v>10</v>
      </c>
      <c r="AI107" t="n">
        <v>10</v>
      </c>
      <c r="AJ107" t="n">
        <v>6</v>
      </c>
      <c r="AK107" t="n">
        <v>6</v>
      </c>
      <c r="AL107" t="n">
        <v>16</v>
      </c>
      <c r="AM107" t="n">
        <v>16</v>
      </c>
      <c r="AN107" t="n">
        <v>3</v>
      </c>
      <c r="AO107" t="n">
        <v>3</v>
      </c>
      <c r="AP107" t="n">
        <v>0</v>
      </c>
      <c r="AQ107" t="n">
        <v>0</v>
      </c>
      <c r="AR107" t="inlineStr">
        <is>
          <t>No</t>
        </is>
      </c>
      <c r="AS107" t="inlineStr">
        <is>
          <t>Yes</t>
        </is>
      </c>
      <c r="AT107">
        <f>HYPERLINK("http://catalog.hathitrust.org/Record/000731963","HathiTrust Record")</f>
        <v/>
      </c>
      <c r="AU107">
        <f>HYPERLINK("https://creighton-primo.hosted.exlibrisgroup.com/primo-explore/search?tab=default_tab&amp;search_scope=EVERYTHING&amp;vid=01CRU&amp;lang=en_US&amp;offset=0&amp;query=any,contains,991004158009702656","Catalog Record")</f>
        <v/>
      </c>
      <c r="AV107">
        <f>HYPERLINK("http://www.worldcat.org/oclc/2542560","WorldCat Record")</f>
        <v/>
      </c>
      <c r="AW107" t="inlineStr">
        <is>
          <t>1909521182:eng</t>
        </is>
      </c>
      <c r="AX107" t="inlineStr">
        <is>
          <t>2542560</t>
        </is>
      </c>
      <c r="AY107" t="inlineStr">
        <is>
          <t>991004158009702656</t>
        </is>
      </c>
      <c r="AZ107" t="inlineStr">
        <is>
          <t>991004158009702656</t>
        </is>
      </c>
      <c r="BA107" t="inlineStr">
        <is>
          <t>2272072820002656</t>
        </is>
      </c>
      <c r="BB107" t="inlineStr">
        <is>
          <t>BOOK</t>
        </is>
      </c>
      <c r="BD107" t="inlineStr">
        <is>
          <t>9780805762693</t>
        </is>
      </c>
      <c r="BE107" t="inlineStr">
        <is>
          <t>32285001928869</t>
        </is>
      </c>
      <c r="BF107" t="inlineStr">
        <is>
          <t>893718560</t>
        </is>
      </c>
    </row>
    <row r="108">
      <c r="A108" t="inlineStr">
        <is>
          <t>No</t>
        </is>
      </c>
      <c r="B108" t="inlineStr">
        <is>
          <t>CURAL</t>
        </is>
      </c>
      <c r="C108" t="inlineStr">
        <is>
          <t>SHELVES</t>
        </is>
      </c>
      <c r="D108" t="inlineStr">
        <is>
          <t>PQ2191.Z5 L58</t>
        </is>
      </c>
      <c r="E108" t="inlineStr">
        <is>
          <t>0                      PQ 2191000Z  5                  L  58</t>
        </is>
      </c>
      <c r="F108" t="inlineStr">
        <is>
          <t>Baudelaire's literary criticism / Rosemary Lloyd.</t>
        </is>
      </c>
      <c r="H108" t="inlineStr">
        <is>
          <t>No</t>
        </is>
      </c>
      <c r="I108" t="inlineStr">
        <is>
          <t>1</t>
        </is>
      </c>
      <c r="J108" t="inlineStr">
        <is>
          <t>No</t>
        </is>
      </c>
      <c r="K108" t="inlineStr">
        <is>
          <t>No</t>
        </is>
      </c>
      <c r="L108" t="inlineStr">
        <is>
          <t>0</t>
        </is>
      </c>
      <c r="M108" t="inlineStr">
        <is>
          <t>Lloyd, Rosemary.</t>
        </is>
      </c>
      <c r="N108" t="inlineStr">
        <is>
          <t>Cambridge [Eng.] ; New York : Cambridge University Press, 1981.</t>
        </is>
      </c>
      <c r="O108" t="inlineStr">
        <is>
          <t>1981</t>
        </is>
      </c>
      <c r="Q108" t="inlineStr">
        <is>
          <t>eng</t>
        </is>
      </c>
      <c r="R108" t="inlineStr">
        <is>
          <t>enk</t>
        </is>
      </c>
      <c r="T108" t="inlineStr">
        <is>
          <t xml:space="preserve">PQ </t>
        </is>
      </c>
      <c r="U108" t="n">
        <v>11</v>
      </c>
      <c r="V108" t="n">
        <v>11</v>
      </c>
      <c r="W108" t="inlineStr">
        <is>
          <t>2005-03-01</t>
        </is>
      </c>
      <c r="X108" t="inlineStr">
        <is>
          <t>2005-03-01</t>
        </is>
      </c>
      <c r="Y108" t="inlineStr">
        <is>
          <t>1991-05-09</t>
        </is>
      </c>
      <c r="Z108" t="inlineStr">
        <is>
          <t>1991-05-09</t>
        </is>
      </c>
      <c r="AA108" t="n">
        <v>502</v>
      </c>
      <c r="AB108" t="n">
        <v>373</v>
      </c>
      <c r="AC108" t="n">
        <v>373</v>
      </c>
      <c r="AD108" t="n">
        <v>3</v>
      </c>
      <c r="AE108" t="n">
        <v>3</v>
      </c>
      <c r="AF108" t="n">
        <v>17</v>
      </c>
      <c r="AG108" t="n">
        <v>17</v>
      </c>
      <c r="AH108" t="n">
        <v>6</v>
      </c>
      <c r="AI108" t="n">
        <v>6</v>
      </c>
      <c r="AJ108" t="n">
        <v>5</v>
      </c>
      <c r="AK108" t="n">
        <v>5</v>
      </c>
      <c r="AL108" t="n">
        <v>10</v>
      </c>
      <c r="AM108" t="n">
        <v>10</v>
      </c>
      <c r="AN108" t="n">
        <v>2</v>
      </c>
      <c r="AO108" t="n">
        <v>2</v>
      </c>
      <c r="AP108" t="n">
        <v>0</v>
      </c>
      <c r="AQ108" t="n">
        <v>0</v>
      </c>
      <c r="AR108" t="inlineStr">
        <is>
          <t>No</t>
        </is>
      </c>
      <c r="AS108" t="inlineStr">
        <is>
          <t>No</t>
        </is>
      </c>
      <c r="AU108">
        <f>HYPERLINK("https://creighton-primo.hosted.exlibrisgroup.com/primo-explore/search?tab=default_tab&amp;search_scope=EVERYTHING&amp;vid=01CRU&amp;lang=en_US&amp;offset=0&amp;query=any,contains,991005115689702656","Catalog Record")</f>
        <v/>
      </c>
      <c r="AV108">
        <f>HYPERLINK("http://www.worldcat.org/oclc/7462152","WorldCat Record")</f>
        <v/>
      </c>
      <c r="AW108" t="inlineStr">
        <is>
          <t>27318522:eng</t>
        </is>
      </c>
      <c r="AX108" t="inlineStr">
        <is>
          <t>7462152</t>
        </is>
      </c>
      <c r="AY108" t="inlineStr">
        <is>
          <t>991005115689702656</t>
        </is>
      </c>
      <c r="AZ108" t="inlineStr">
        <is>
          <t>991005115689702656</t>
        </is>
      </c>
      <c r="BA108" t="inlineStr">
        <is>
          <t>2262675330002656</t>
        </is>
      </c>
      <c r="BB108" t="inlineStr">
        <is>
          <t>BOOK</t>
        </is>
      </c>
      <c r="BD108" t="inlineStr">
        <is>
          <t>9780521235525</t>
        </is>
      </c>
      <c r="BE108" t="inlineStr">
        <is>
          <t>32285000602549</t>
        </is>
      </c>
      <c r="BF108" t="inlineStr">
        <is>
          <t>893338531</t>
        </is>
      </c>
    </row>
    <row r="109">
      <c r="A109" t="inlineStr">
        <is>
          <t>No</t>
        </is>
      </c>
      <c r="B109" t="inlineStr">
        <is>
          <t>CURAL</t>
        </is>
      </c>
      <c r="C109" t="inlineStr">
        <is>
          <t>SHELVES</t>
        </is>
      </c>
      <c r="D109" t="inlineStr">
        <is>
          <t>PQ2191.Z5 L59 2002</t>
        </is>
      </c>
      <c r="E109" t="inlineStr">
        <is>
          <t>0                      PQ 2191000Z  5                  L  59          2002</t>
        </is>
      </c>
      <c r="F109" t="inlineStr">
        <is>
          <t>Baudelaire's world / Rosemary Lloyd.</t>
        </is>
      </c>
      <c r="H109" t="inlineStr">
        <is>
          <t>No</t>
        </is>
      </c>
      <c r="I109" t="inlineStr">
        <is>
          <t>1</t>
        </is>
      </c>
      <c r="J109" t="inlineStr">
        <is>
          <t>No</t>
        </is>
      </c>
      <c r="K109" t="inlineStr">
        <is>
          <t>No</t>
        </is>
      </c>
      <c r="L109" t="inlineStr">
        <is>
          <t>0</t>
        </is>
      </c>
      <c r="M109" t="inlineStr">
        <is>
          <t>Lloyd, Rosemary.</t>
        </is>
      </c>
      <c r="N109" t="inlineStr">
        <is>
          <t>Ithaca : Cornell University Press, 2002.</t>
        </is>
      </c>
      <c r="O109" t="inlineStr">
        <is>
          <t>2002</t>
        </is>
      </c>
      <c r="Q109" t="inlineStr">
        <is>
          <t>eng</t>
        </is>
      </c>
      <c r="R109" t="inlineStr">
        <is>
          <t>nyu</t>
        </is>
      </c>
      <c r="T109" t="inlineStr">
        <is>
          <t xml:space="preserve">PQ </t>
        </is>
      </c>
      <c r="U109" t="n">
        <v>4</v>
      </c>
      <c r="V109" t="n">
        <v>4</v>
      </c>
      <c r="W109" t="inlineStr">
        <is>
          <t>2004-04-25</t>
        </is>
      </c>
      <c r="X109" t="inlineStr">
        <is>
          <t>2004-04-25</t>
        </is>
      </c>
      <c r="Y109" t="inlineStr">
        <is>
          <t>2003-09-18</t>
        </is>
      </c>
      <c r="Z109" t="inlineStr">
        <is>
          <t>2003-09-18</t>
        </is>
      </c>
      <c r="AA109" t="n">
        <v>658</v>
      </c>
      <c r="AB109" t="n">
        <v>559</v>
      </c>
      <c r="AC109" t="n">
        <v>717</v>
      </c>
      <c r="AD109" t="n">
        <v>5</v>
      </c>
      <c r="AE109" t="n">
        <v>5</v>
      </c>
      <c r="AF109" t="n">
        <v>39</v>
      </c>
      <c r="AG109" t="n">
        <v>43</v>
      </c>
      <c r="AH109" t="n">
        <v>18</v>
      </c>
      <c r="AI109" t="n">
        <v>20</v>
      </c>
      <c r="AJ109" t="n">
        <v>10</v>
      </c>
      <c r="AK109" t="n">
        <v>10</v>
      </c>
      <c r="AL109" t="n">
        <v>16</v>
      </c>
      <c r="AM109" t="n">
        <v>19</v>
      </c>
      <c r="AN109" t="n">
        <v>4</v>
      </c>
      <c r="AO109" t="n">
        <v>4</v>
      </c>
      <c r="AP109" t="n">
        <v>0</v>
      </c>
      <c r="AQ109" t="n">
        <v>0</v>
      </c>
      <c r="AR109" t="inlineStr">
        <is>
          <t>No</t>
        </is>
      </c>
      <c r="AS109" t="inlineStr">
        <is>
          <t>No</t>
        </is>
      </c>
      <c r="AU109">
        <f>HYPERLINK("https://creighton-primo.hosted.exlibrisgroup.com/primo-explore/search?tab=default_tab&amp;search_scope=EVERYTHING&amp;vid=01CRU&amp;lang=en_US&amp;offset=0&amp;query=any,contains,991004127769702656","Catalog Record")</f>
        <v/>
      </c>
      <c r="AV109">
        <f>HYPERLINK("http://www.worldcat.org/oclc/49795638","WorldCat Record")</f>
        <v/>
      </c>
      <c r="AW109" t="inlineStr">
        <is>
          <t>8787210:eng</t>
        </is>
      </c>
      <c r="AX109" t="inlineStr">
        <is>
          <t>49795638</t>
        </is>
      </c>
      <c r="AY109" t="inlineStr">
        <is>
          <t>991004127769702656</t>
        </is>
      </c>
      <c r="AZ109" t="inlineStr">
        <is>
          <t>991004127769702656</t>
        </is>
      </c>
      <c r="BA109" t="inlineStr">
        <is>
          <t>2255259370002656</t>
        </is>
      </c>
      <c r="BB109" t="inlineStr">
        <is>
          <t>BOOK</t>
        </is>
      </c>
      <c r="BD109" t="inlineStr">
        <is>
          <t>9780801440267</t>
        </is>
      </c>
      <c r="BE109" t="inlineStr">
        <is>
          <t>32285004790134</t>
        </is>
      </c>
      <c r="BF109" t="inlineStr">
        <is>
          <t>893435919</t>
        </is>
      </c>
    </row>
    <row r="110">
      <c r="A110" t="inlineStr">
        <is>
          <t>No</t>
        </is>
      </c>
      <c r="B110" t="inlineStr">
        <is>
          <t>CURAL</t>
        </is>
      </c>
      <c r="C110" t="inlineStr">
        <is>
          <t>SHELVES</t>
        </is>
      </c>
      <c r="D110" t="inlineStr">
        <is>
          <t>PQ2191.Z5 R47 1994</t>
        </is>
      </c>
      <c r="E110" t="inlineStr">
        <is>
          <t>0                      PQ 2191000Z  5                  R  47          1994</t>
        </is>
      </c>
      <c r="F110" t="inlineStr">
        <is>
          <t>Baudelaire / Joanna Richardson.</t>
        </is>
      </c>
      <c r="H110" t="inlineStr">
        <is>
          <t>No</t>
        </is>
      </c>
      <c r="I110" t="inlineStr">
        <is>
          <t>1</t>
        </is>
      </c>
      <c r="J110" t="inlineStr">
        <is>
          <t>No</t>
        </is>
      </c>
      <c r="K110" t="inlineStr">
        <is>
          <t>No</t>
        </is>
      </c>
      <c r="L110" t="inlineStr">
        <is>
          <t>0</t>
        </is>
      </c>
      <c r="M110" t="inlineStr">
        <is>
          <t>Richardson, Joanna.</t>
        </is>
      </c>
      <c r="N110" t="inlineStr">
        <is>
          <t>New York : St. Martin's Press, 1994.</t>
        </is>
      </c>
      <c r="O110" t="inlineStr">
        <is>
          <t>1994</t>
        </is>
      </c>
      <c r="P110" t="inlineStr">
        <is>
          <t>1st U.S. ed.</t>
        </is>
      </c>
      <c r="Q110" t="inlineStr">
        <is>
          <t>eng</t>
        </is>
      </c>
      <c r="R110" t="inlineStr">
        <is>
          <t>nyu</t>
        </is>
      </c>
      <c r="T110" t="inlineStr">
        <is>
          <t xml:space="preserve">PQ </t>
        </is>
      </c>
      <c r="U110" t="n">
        <v>13</v>
      </c>
      <c r="V110" t="n">
        <v>13</v>
      </c>
      <c r="W110" t="inlineStr">
        <is>
          <t>1997-03-26</t>
        </is>
      </c>
      <c r="X110" t="inlineStr">
        <is>
          <t>1997-03-26</t>
        </is>
      </c>
      <c r="Y110" t="inlineStr">
        <is>
          <t>1995-01-23</t>
        </is>
      </c>
      <c r="Z110" t="inlineStr">
        <is>
          <t>1995-01-23</t>
        </is>
      </c>
      <c r="AA110" t="n">
        <v>519</v>
      </c>
      <c r="AB110" t="n">
        <v>496</v>
      </c>
      <c r="AC110" t="n">
        <v>545</v>
      </c>
      <c r="AD110" t="n">
        <v>3</v>
      </c>
      <c r="AE110" t="n">
        <v>3</v>
      </c>
      <c r="AF110" t="n">
        <v>19</v>
      </c>
      <c r="AG110" t="n">
        <v>20</v>
      </c>
      <c r="AH110" t="n">
        <v>7</v>
      </c>
      <c r="AI110" t="n">
        <v>7</v>
      </c>
      <c r="AJ110" t="n">
        <v>5</v>
      </c>
      <c r="AK110" t="n">
        <v>6</v>
      </c>
      <c r="AL110" t="n">
        <v>13</v>
      </c>
      <c r="AM110" t="n">
        <v>14</v>
      </c>
      <c r="AN110" t="n">
        <v>2</v>
      </c>
      <c r="AO110" t="n">
        <v>2</v>
      </c>
      <c r="AP110" t="n">
        <v>0</v>
      </c>
      <c r="AQ110" t="n">
        <v>0</v>
      </c>
      <c r="AR110" t="inlineStr">
        <is>
          <t>No</t>
        </is>
      </c>
      <c r="AS110" t="inlineStr">
        <is>
          <t>No</t>
        </is>
      </c>
      <c r="AU110">
        <f>HYPERLINK("https://creighton-primo.hosted.exlibrisgroup.com/primo-explore/search?tab=default_tab&amp;search_scope=EVERYTHING&amp;vid=01CRU&amp;lang=en_US&amp;offset=0&amp;query=any,contains,991002363789702656","Catalog Record")</f>
        <v/>
      </c>
      <c r="AV110">
        <f>HYPERLINK("http://www.worldcat.org/oclc/30736784","WorldCat Record")</f>
        <v/>
      </c>
      <c r="AW110" t="inlineStr">
        <is>
          <t>32118131:eng</t>
        </is>
      </c>
      <c r="AX110" t="inlineStr">
        <is>
          <t>30736784</t>
        </is>
      </c>
      <c r="AY110" t="inlineStr">
        <is>
          <t>991002363789702656</t>
        </is>
      </c>
      <c r="AZ110" t="inlineStr">
        <is>
          <t>991002363789702656</t>
        </is>
      </c>
      <c r="BA110" t="inlineStr">
        <is>
          <t>2262828830002656</t>
        </is>
      </c>
      <c r="BB110" t="inlineStr">
        <is>
          <t>BOOK</t>
        </is>
      </c>
      <c r="BD110" t="inlineStr">
        <is>
          <t>9780312114763</t>
        </is>
      </c>
      <c r="BE110" t="inlineStr">
        <is>
          <t>32285001994929</t>
        </is>
      </c>
      <c r="BF110" t="inlineStr">
        <is>
          <t>893597362</t>
        </is>
      </c>
    </row>
    <row r="111">
      <c r="A111" t="inlineStr">
        <is>
          <t>No</t>
        </is>
      </c>
      <c r="B111" t="inlineStr">
        <is>
          <t>CURAL</t>
        </is>
      </c>
      <c r="C111" t="inlineStr">
        <is>
          <t>SHELVES</t>
        </is>
      </c>
      <c r="D111" t="inlineStr">
        <is>
          <t>PQ2191.Z5 S8 1958</t>
        </is>
      </c>
      <c r="E111" t="inlineStr">
        <is>
          <t>0                      PQ 2191000Z  5                  S  8           1958</t>
        </is>
      </c>
      <c r="F111" t="inlineStr">
        <is>
          <t>Baudelaire.</t>
        </is>
      </c>
      <c r="H111" t="inlineStr">
        <is>
          <t>No</t>
        </is>
      </c>
      <c r="I111" t="inlineStr">
        <is>
          <t>1</t>
        </is>
      </c>
      <c r="J111" t="inlineStr">
        <is>
          <t>No</t>
        </is>
      </c>
      <c r="K111" t="inlineStr">
        <is>
          <t>No</t>
        </is>
      </c>
      <c r="L111" t="inlineStr">
        <is>
          <t>0</t>
        </is>
      </c>
      <c r="M111" t="inlineStr">
        <is>
          <t>Starkie, Enid.</t>
        </is>
      </c>
      <c r="N111" t="inlineStr">
        <is>
          <t>[Norfolk, Conn.] : New Directions, [1958]</t>
        </is>
      </c>
      <c r="O111" t="inlineStr">
        <is>
          <t>1958</t>
        </is>
      </c>
      <c r="Q111" t="inlineStr">
        <is>
          <t>eng</t>
        </is>
      </c>
      <c r="R111" t="inlineStr">
        <is>
          <t>ctu</t>
        </is>
      </c>
      <c r="T111" t="inlineStr">
        <is>
          <t xml:space="preserve">PQ </t>
        </is>
      </c>
      <c r="U111" t="n">
        <v>4</v>
      </c>
      <c r="V111" t="n">
        <v>4</v>
      </c>
      <c r="W111" t="inlineStr">
        <is>
          <t>2005-03-03</t>
        </is>
      </c>
      <c r="X111" t="inlineStr">
        <is>
          <t>2005-03-03</t>
        </is>
      </c>
      <c r="Y111" t="inlineStr">
        <is>
          <t>1995-03-23</t>
        </is>
      </c>
      <c r="Z111" t="inlineStr">
        <is>
          <t>1995-03-23</t>
        </is>
      </c>
      <c r="AA111" t="n">
        <v>911</v>
      </c>
      <c r="AB111" t="n">
        <v>871</v>
      </c>
      <c r="AC111" t="n">
        <v>1045</v>
      </c>
      <c r="AD111" t="n">
        <v>6</v>
      </c>
      <c r="AE111" t="n">
        <v>6</v>
      </c>
      <c r="AF111" t="n">
        <v>35</v>
      </c>
      <c r="AG111" t="n">
        <v>44</v>
      </c>
      <c r="AH111" t="n">
        <v>16</v>
      </c>
      <c r="AI111" t="n">
        <v>18</v>
      </c>
      <c r="AJ111" t="n">
        <v>6</v>
      </c>
      <c r="AK111" t="n">
        <v>10</v>
      </c>
      <c r="AL111" t="n">
        <v>16</v>
      </c>
      <c r="AM111" t="n">
        <v>22</v>
      </c>
      <c r="AN111" t="n">
        <v>5</v>
      </c>
      <c r="AO111" t="n">
        <v>5</v>
      </c>
      <c r="AP111" t="n">
        <v>0</v>
      </c>
      <c r="AQ111" t="n">
        <v>0</v>
      </c>
      <c r="AR111" t="inlineStr">
        <is>
          <t>No</t>
        </is>
      </c>
      <c r="AS111" t="inlineStr">
        <is>
          <t>Yes</t>
        </is>
      </c>
      <c r="AT111">
        <f>HYPERLINK("http://catalog.hathitrust.org/Record/007126295","HathiTrust Record")</f>
        <v/>
      </c>
      <c r="AU111">
        <f>HYPERLINK("https://creighton-primo.hosted.exlibrisgroup.com/primo-explore/search?tab=default_tab&amp;search_scope=EVERYTHING&amp;vid=01CRU&amp;lang=en_US&amp;offset=0&amp;query=any,contains,991001920689702656","Catalog Record")</f>
        <v/>
      </c>
      <c r="AV111">
        <f>HYPERLINK("http://www.worldcat.org/oclc/244904","WorldCat Record")</f>
        <v/>
      </c>
      <c r="AW111" t="inlineStr">
        <is>
          <t>3901079952:eng</t>
        </is>
      </c>
      <c r="AX111" t="inlineStr">
        <is>
          <t>244904</t>
        </is>
      </c>
      <c r="AY111" t="inlineStr">
        <is>
          <t>991001920689702656</t>
        </is>
      </c>
      <c r="AZ111" t="inlineStr">
        <is>
          <t>991001920689702656</t>
        </is>
      </c>
      <c r="BA111" t="inlineStr">
        <is>
          <t>2270102660002656</t>
        </is>
      </c>
      <c r="BB111" t="inlineStr">
        <is>
          <t>BOOK</t>
        </is>
      </c>
      <c r="BE111" t="inlineStr">
        <is>
          <t>32285002013653</t>
        </is>
      </c>
      <c r="BF111" t="inlineStr">
        <is>
          <t>893522970</t>
        </is>
      </c>
    </row>
    <row r="112">
      <c r="A112" t="inlineStr">
        <is>
          <t>No</t>
        </is>
      </c>
      <c r="B112" t="inlineStr">
        <is>
          <t>CURAL</t>
        </is>
      </c>
      <c r="C112" t="inlineStr">
        <is>
          <t>SHELVES</t>
        </is>
      </c>
      <c r="D112" t="inlineStr">
        <is>
          <t>PQ2191.Z5 W3 1980</t>
        </is>
      </c>
      <c r="E112" t="inlineStr">
        <is>
          <t>0                      PQ 2191000Z  5                  W  3           1980</t>
        </is>
      </c>
      <c r="F112" t="inlineStr">
        <is>
          <t>Baudelaire, a fire to conquer darkness / Nicole Ward Jouve.</t>
        </is>
      </c>
      <c r="H112" t="inlineStr">
        <is>
          <t>No</t>
        </is>
      </c>
      <c r="I112" t="inlineStr">
        <is>
          <t>1</t>
        </is>
      </c>
      <c r="J112" t="inlineStr">
        <is>
          <t>No</t>
        </is>
      </c>
      <c r="K112" t="inlineStr">
        <is>
          <t>No</t>
        </is>
      </c>
      <c r="L112" t="inlineStr">
        <is>
          <t>0</t>
        </is>
      </c>
      <c r="M112" t="inlineStr">
        <is>
          <t>Ward Jouve, Nicole.</t>
        </is>
      </c>
      <c r="N112" t="inlineStr">
        <is>
          <t>New York : St. Martin's Press, 1980.</t>
        </is>
      </c>
      <c r="O112" t="inlineStr">
        <is>
          <t>1980</t>
        </is>
      </c>
      <c r="Q112" t="inlineStr">
        <is>
          <t>eng</t>
        </is>
      </c>
      <c r="R112" t="inlineStr">
        <is>
          <t>nyu</t>
        </is>
      </c>
      <c r="T112" t="inlineStr">
        <is>
          <t xml:space="preserve">PQ </t>
        </is>
      </c>
      <c r="U112" t="n">
        <v>10</v>
      </c>
      <c r="V112" t="n">
        <v>10</v>
      </c>
      <c r="W112" t="inlineStr">
        <is>
          <t>2005-03-01</t>
        </is>
      </c>
      <c r="X112" t="inlineStr">
        <is>
          <t>2005-03-01</t>
        </is>
      </c>
      <c r="Y112" t="inlineStr">
        <is>
          <t>1991-05-09</t>
        </is>
      </c>
      <c r="Z112" t="inlineStr">
        <is>
          <t>1991-05-09</t>
        </is>
      </c>
      <c r="AA112" t="n">
        <v>304</v>
      </c>
      <c r="AB112" t="n">
        <v>271</v>
      </c>
      <c r="AC112" t="n">
        <v>317</v>
      </c>
      <c r="AD112" t="n">
        <v>1</v>
      </c>
      <c r="AE112" t="n">
        <v>3</v>
      </c>
      <c r="AF112" t="n">
        <v>11</v>
      </c>
      <c r="AG112" t="n">
        <v>16</v>
      </c>
      <c r="AH112" t="n">
        <v>4</v>
      </c>
      <c r="AI112" t="n">
        <v>6</v>
      </c>
      <c r="AJ112" t="n">
        <v>6</v>
      </c>
      <c r="AK112" t="n">
        <v>6</v>
      </c>
      <c r="AL112" t="n">
        <v>6</v>
      </c>
      <c r="AM112" t="n">
        <v>9</v>
      </c>
      <c r="AN112" t="n">
        <v>0</v>
      </c>
      <c r="AO112" t="n">
        <v>2</v>
      </c>
      <c r="AP112" t="n">
        <v>0</v>
      </c>
      <c r="AQ112" t="n">
        <v>0</v>
      </c>
      <c r="AR112" t="inlineStr">
        <is>
          <t>No</t>
        </is>
      </c>
      <c r="AS112" t="inlineStr">
        <is>
          <t>No</t>
        </is>
      </c>
      <c r="AU112">
        <f>HYPERLINK("https://creighton-primo.hosted.exlibrisgroup.com/primo-explore/search?tab=default_tab&amp;search_scope=EVERYTHING&amp;vid=01CRU&amp;lang=en_US&amp;offset=0&amp;query=any,contains,991004762769702656","Catalog Record")</f>
        <v/>
      </c>
      <c r="AV112">
        <f>HYPERLINK("http://www.worldcat.org/oclc/5008292","WorldCat Record")</f>
        <v/>
      </c>
      <c r="AW112" t="inlineStr">
        <is>
          <t>836624384:eng</t>
        </is>
      </c>
      <c r="AX112" t="inlineStr">
        <is>
          <t>5008292</t>
        </is>
      </c>
      <c r="AY112" t="inlineStr">
        <is>
          <t>991004762769702656</t>
        </is>
      </c>
      <c r="AZ112" t="inlineStr">
        <is>
          <t>991004762769702656</t>
        </is>
      </c>
      <c r="BA112" t="inlineStr">
        <is>
          <t>2269327300002656</t>
        </is>
      </c>
      <c r="BB112" t="inlineStr">
        <is>
          <t>BOOK</t>
        </is>
      </c>
      <c r="BD112" t="inlineStr">
        <is>
          <t>9780312070052</t>
        </is>
      </c>
      <c r="BE112" t="inlineStr">
        <is>
          <t>32285000602556</t>
        </is>
      </c>
      <c r="BF112" t="inlineStr">
        <is>
          <t>893507205</t>
        </is>
      </c>
    </row>
    <row r="113">
      <c r="A113" t="inlineStr">
        <is>
          <t>No</t>
        </is>
      </c>
      <c r="B113" t="inlineStr">
        <is>
          <t>CURAL</t>
        </is>
      </c>
      <c r="C113" t="inlineStr">
        <is>
          <t>SHELVES</t>
        </is>
      </c>
      <c r="D113" t="inlineStr">
        <is>
          <t>PQ2191.Z72 C3</t>
        </is>
      </c>
      <c r="E113" t="inlineStr">
        <is>
          <t>0                      PQ 2191000Z  72                 C  3</t>
        </is>
      </c>
      <c r="F113" t="inlineStr">
        <is>
          <t>Baudelaire criticism, 1950-1967 : a bibliography with critical commentary / [by] Robert T. Cargo.</t>
        </is>
      </c>
      <c r="H113" t="inlineStr">
        <is>
          <t>No</t>
        </is>
      </c>
      <c r="I113" t="inlineStr">
        <is>
          <t>1</t>
        </is>
      </c>
      <c r="J113" t="inlineStr">
        <is>
          <t>No</t>
        </is>
      </c>
      <c r="K113" t="inlineStr">
        <is>
          <t>No</t>
        </is>
      </c>
      <c r="L113" t="inlineStr">
        <is>
          <t>0</t>
        </is>
      </c>
      <c r="M113" t="inlineStr">
        <is>
          <t>Cargo, Robert T.</t>
        </is>
      </c>
      <c r="N113" t="inlineStr">
        <is>
          <t>University : University of Alabama Press, [c1968]</t>
        </is>
      </c>
      <c r="O113" t="inlineStr">
        <is>
          <t>1968</t>
        </is>
      </c>
      <c r="Q113" t="inlineStr">
        <is>
          <t>eng</t>
        </is>
      </c>
      <c r="R113" t="inlineStr">
        <is>
          <t>alu</t>
        </is>
      </c>
      <c r="T113" t="inlineStr">
        <is>
          <t xml:space="preserve">PQ </t>
        </is>
      </c>
      <c r="U113" t="n">
        <v>8</v>
      </c>
      <c r="V113" t="n">
        <v>8</v>
      </c>
      <c r="W113" t="inlineStr">
        <is>
          <t>2005-03-03</t>
        </is>
      </c>
      <c r="X113" t="inlineStr">
        <is>
          <t>2005-03-03</t>
        </is>
      </c>
      <c r="Y113" t="inlineStr">
        <is>
          <t>1994-04-08</t>
        </is>
      </c>
      <c r="Z113" t="inlineStr">
        <is>
          <t>1994-04-08</t>
        </is>
      </c>
      <c r="AA113" t="n">
        <v>488</v>
      </c>
      <c r="AB113" t="n">
        <v>387</v>
      </c>
      <c r="AC113" t="n">
        <v>394</v>
      </c>
      <c r="AD113" t="n">
        <v>4</v>
      </c>
      <c r="AE113" t="n">
        <v>4</v>
      </c>
      <c r="AF113" t="n">
        <v>16</v>
      </c>
      <c r="AG113" t="n">
        <v>16</v>
      </c>
      <c r="AH113" t="n">
        <v>4</v>
      </c>
      <c r="AI113" t="n">
        <v>4</v>
      </c>
      <c r="AJ113" t="n">
        <v>2</v>
      </c>
      <c r="AK113" t="n">
        <v>2</v>
      </c>
      <c r="AL113" t="n">
        <v>8</v>
      </c>
      <c r="AM113" t="n">
        <v>8</v>
      </c>
      <c r="AN113" t="n">
        <v>3</v>
      </c>
      <c r="AO113" t="n">
        <v>3</v>
      </c>
      <c r="AP113" t="n">
        <v>0</v>
      </c>
      <c r="AQ113" t="n">
        <v>0</v>
      </c>
      <c r="AR113" t="inlineStr">
        <is>
          <t>No</t>
        </is>
      </c>
      <c r="AS113" t="inlineStr">
        <is>
          <t>Yes</t>
        </is>
      </c>
      <c r="AT113">
        <f>HYPERLINK("http://catalog.hathitrust.org/Record/001203841","HathiTrust Record")</f>
        <v/>
      </c>
      <c r="AU113">
        <f>HYPERLINK("https://creighton-primo.hosted.exlibrisgroup.com/primo-explore/search?tab=default_tab&amp;search_scope=EVERYTHING&amp;vid=01CRU&amp;lang=en_US&amp;offset=0&amp;query=any,contains,991005432029702656","Catalog Record")</f>
        <v/>
      </c>
      <c r="AV113">
        <f>HYPERLINK("http://www.worldcat.org/oclc/878","WorldCat Record")</f>
        <v/>
      </c>
      <c r="AW113" t="inlineStr">
        <is>
          <t>293639601:eng</t>
        </is>
      </c>
      <c r="AX113" t="inlineStr">
        <is>
          <t>878</t>
        </is>
      </c>
      <c r="AY113" t="inlineStr">
        <is>
          <t>991005432029702656</t>
        </is>
      </c>
      <c r="AZ113" t="inlineStr">
        <is>
          <t>991005432029702656</t>
        </is>
      </c>
      <c r="BA113" t="inlineStr">
        <is>
          <t>2272566280002656</t>
        </is>
      </c>
      <c r="BB113" t="inlineStr">
        <is>
          <t>BOOK</t>
        </is>
      </c>
      <c r="BD113" t="inlineStr">
        <is>
          <t>9780817395094</t>
        </is>
      </c>
      <c r="BE113" t="inlineStr">
        <is>
          <t>32285001874576</t>
        </is>
      </c>
      <c r="BF113" t="inlineStr">
        <is>
          <t>893242743</t>
        </is>
      </c>
    </row>
    <row r="114">
      <c r="A114" t="inlineStr">
        <is>
          <t>No</t>
        </is>
      </c>
      <c r="B114" t="inlineStr">
        <is>
          <t>CURAL</t>
        </is>
      </c>
      <c r="C114" t="inlineStr">
        <is>
          <t>SHELVES</t>
        </is>
      </c>
      <c r="D114" t="inlineStr">
        <is>
          <t>PQ2193.B4 Z73</t>
        </is>
      </c>
      <c r="E114" t="inlineStr">
        <is>
          <t>0                      PQ 2193000B  4                  Z  73</t>
        </is>
      </c>
      <c r="F114" t="inlineStr">
        <is>
          <t>Henry Becque.</t>
        </is>
      </c>
      <c r="H114" t="inlineStr">
        <is>
          <t>No</t>
        </is>
      </c>
      <c r="I114" t="inlineStr">
        <is>
          <t>1</t>
        </is>
      </c>
      <c r="J114" t="inlineStr">
        <is>
          <t>No</t>
        </is>
      </c>
      <c r="K114" t="inlineStr">
        <is>
          <t>No</t>
        </is>
      </c>
      <c r="L114" t="inlineStr">
        <is>
          <t>0</t>
        </is>
      </c>
      <c r="M114" t="inlineStr">
        <is>
          <t>Hyslop, Lois Boe, 1908-2003.</t>
        </is>
      </c>
      <c r="N114" t="inlineStr">
        <is>
          <t>New York, Twayne Publishers [c1972]</t>
        </is>
      </c>
      <c r="O114" t="inlineStr">
        <is>
          <t>1972</t>
        </is>
      </c>
      <c r="Q114" t="inlineStr">
        <is>
          <t>eng</t>
        </is>
      </c>
      <c r="R114" t="inlineStr">
        <is>
          <t>nyu</t>
        </is>
      </c>
      <c r="S114" t="inlineStr">
        <is>
          <t>Twayne's world authors series, TWAS 180 France</t>
        </is>
      </c>
      <c r="T114" t="inlineStr">
        <is>
          <t xml:space="preserve">PQ </t>
        </is>
      </c>
      <c r="U114" t="n">
        <v>2</v>
      </c>
      <c r="V114" t="n">
        <v>2</v>
      </c>
      <c r="W114" t="inlineStr">
        <is>
          <t>1998-02-18</t>
        </is>
      </c>
      <c r="X114" t="inlineStr">
        <is>
          <t>1998-02-18</t>
        </is>
      </c>
      <c r="Y114" t="inlineStr">
        <is>
          <t>1997-05-13</t>
        </is>
      </c>
      <c r="Z114" t="inlineStr">
        <is>
          <t>1997-05-13</t>
        </is>
      </c>
      <c r="AA114" t="n">
        <v>583</v>
      </c>
      <c r="AB114" t="n">
        <v>521</v>
      </c>
      <c r="AC114" t="n">
        <v>529</v>
      </c>
      <c r="AD114" t="n">
        <v>5</v>
      </c>
      <c r="AE114" t="n">
        <v>5</v>
      </c>
      <c r="AF114" t="n">
        <v>23</v>
      </c>
      <c r="AG114" t="n">
        <v>23</v>
      </c>
      <c r="AH114" t="n">
        <v>7</v>
      </c>
      <c r="AI114" t="n">
        <v>7</v>
      </c>
      <c r="AJ114" t="n">
        <v>5</v>
      </c>
      <c r="AK114" t="n">
        <v>5</v>
      </c>
      <c r="AL114" t="n">
        <v>13</v>
      </c>
      <c r="AM114" t="n">
        <v>13</v>
      </c>
      <c r="AN114" t="n">
        <v>4</v>
      </c>
      <c r="AO114" t="n">
        <v>4</v>
      </c>
      <c r="AP114" t="n">
        <v>0</v>
      </c>
      <c r="AQ114" t="n">
        <v>0</v>
      </c>
      <c r="AR114" t="inlineStr">
        <is>
          <t>No</t>
        </is>
      </c>
      <c r="AS114" t="inlineStr">
        <is>
          <t>Yes</t>
        </is>
      </c>
      <c r="AT114">
        <f>HYPERLINK("http://catalog.hathitrust.org/Record/001204054","HathiTrust Record")</f>
        <v/>
      </c>
      <c r="AU114">
        <f>HYPERLINK("https://creighton-primo.hosted.exlibrisgroup.com/primo-explore/search?tab=default_tab&amp;search_scope=EVERYTHING&amp;vid=01CRU&amp;lang=en_US&amp;offset=0&amp;query=any,contains,991002004649702656","Catalog Record")</f>
        <v/>
      </c>
      <c r="AV114">
        <f>HYPERLINK("http://www.worldcat.org/oclc/257867","WorldCat Record")</f>
        <v/>
      </c>
      <c r="AW114" t="inlineStr">
        <is>
          <t>509761526:eng</t>
        </is>
      </c>
      <c r="AX114" t="inlineStr">
        <is>
          <t>257867</t>
        </is>
      </c>
      <c r="AY114" t="inlineStr">
        <is>
          <t>991002004649702656</t>
        </is>
      </c>
      <c r="AZ114" t="inlineStr">
        <is>
          <t>991002004649702656</t>
        </is>
      </c>
      <c r="BA114" t="inlineStr">
        <is>
          <t>2271766350002656</t>
        </is>
      </c>
      <c r="BB114" t="inlineStr">
        <is>
          <t>BOOK</t>
        </is>
      </c>
      <c r="BE114" t="inlineStr">
        <is>
          <t>32285002654142</t>
        </is>
      </c>
      <c r="BF114" t="inlineStr">
        <is>
          <t>893414715</t>
        </is>
      </c>
    </row>
    <row r="115">
      <c r="A115" t="inlineStr">
        <is>
          <t>No</t>
        </is>
      </c>
      <c r="B115" t="inlineStr">
        <is>
          <t>CURAL</t>
        </is>
      </c>
      <c r="C115" t="inlineStr">
        <is>
          <t>SHELVES</t>
        </is>
      </c>
      <c r="D115" t="inlineStr">
        <is>
          <t>PQ2205.Z5 D4</t>
        </is>
      </c>
      <c r="E115" t="inlineStr">
        <is>
          <t>0                      PQ 2205000Z  5                  D  4</t>
        </is>
      </c>
      <c r="F115" t="inlineStr">
        <is>
          <t>Chateaubriand et Rousseau.</t>
        </is>
      </c>
      <c r="H115" t="inlineStr">
        <is>
          <t>No</t>
        </is>
      </c>
      <c r="I115" t="inlineStr">
        <is>
          <t>1</t>
        </is>
      </c>
      <c r="J115" t="inlineStr">
        <is>
          <t>No</t>
        </is>
      </c>
      <c r="K115" t="inlineStr">
        <is>
          <t>No</t>
        </is>
      </c>
      <c r="L115" t="inlineStr">
        <is>
          <t>0</t>
        </is>
      </c>
      <c r="M115" t="inlineStr">
        <is>
          <t>Dédéyan, Charles.</t>
        </is>
      </c>
      <c r="N115" t="inlineStr">
        <is>
          <t>Paris, Société d'édition d'enseignement supérieur, 1973.</t>
        </is>
      </c>
      <c r="O115" t="inlineStr">
        <is>
          <t>1973</t>
        </is>
      </c>
      <c r="Q115" t="inlineStr">
        <is>
          <t>fre</t>
        </is>
      </c>
      <c r="R115" t="inlineStr">
        <is>
          <t xml:space="preserve">fr </t>
        </is>
      </c>
      <c r="T115" t="inlineStr">
        <is>
          <t xml:space="preserve">PQ </t>
        </is>
      </c>
      <c r="U115" t="n">
        <v>1</v>
      </c>
      <c r="V115" t="n">
        <v>1</v>
      </c>
      <c r="W115" t="inlineStr">
        <is>
          <t>1992-09-04</t>
        </is>
      </c>
      <c r="X115" t="inlineStr">
        <is>
          <t>1992-09-04</t>
        </is>
      </c>
      <c r="Y115" t="inlineStr">
        <is>
          <t>1991-05-09</t>
        </is>
      </c>
      <c r="Z115" t="inlineStr">
        <is>
          <t>1991-05-09</t>
        </is>
      </c>
      <c r="AA115" t="n">
        <v>179</v>
      </c>
      <c r="AB115" t="n">
        <v>101</v>
      </c>
      <c r="AC115" t="n">
        <v>102</v>
      </c>
      <c r="AD115" t="n">
        <v>2</v>
      </c>
      <c r="AE115" t="n">
        <v>2</v>
      </c>
      <c r="AF115" t="n">
        <v>3</v>
      </c>
      <c r="AG115" t="n">
        <v>3</v>
      </c>
      <c r="AH115" t="n">
        <v>0</v>
      </c>
      <c r="AI115" t="n">
        <v>0</v>
      </c>
      <c r="AJ115" t="n">
        <v>2</v>
      </c>
      <c r="AK115" t="n">
        <v>2</v>
      </c>
      <c r="AL115" t="n">
        <v>1</v>
      </c>
      <c r="AM115" t="n">
        <v>1</v>
      </c>
      <c r="AN115" t="n">
        <v>1</v>
      </c>
      <c r="AO115" t="n">
        <v>1</v>
      </c>
      <c r="AP115" t="n">
        <v>0</v>
      </c>
      <c r="AQ115" t="n">
        <v>0</v>
      </c>
      <c r="AR115" t="inlineStr">
        <is>
          <t>No</t>
        </is>
      </c>
      <c r="AS115" t="inlineStr">
        <is>
          <t>No</t>
        </is>
      </c>
      <c r="AU115">
        <f>HYPERLINK("https://creighton-primo.hosted.exlibrisgroup.com/primo-explore/search?tab=default_tab&amp;search_scope=EVERYTHING&amp;vid=01CRU&amp;lang=en_US&amp;offset=0&amp;query=any,contains,991003267859702656","Catalog Record")</f>
        <v/>
      </c>
      <c r="AV115">
        <f>HYPERLINK("http://www.worldcat.org/oclc/793793","WorldCat Record")</f>
        <v/>
      </c>
      <c r="AW115" t="inlineStr">
        <is>
          <t>1753426:fre</t>
        </is>
      </c>
      <c r="AX115" t="inlineStr">
        <is>
          <t>793793</t>
        </is>
      </c>
      <c r="AY115" t="inlineStr">
        <is>
          <t>991003267859702656</t>
        </is>
      </c>
      <c r="AZ115" t="inlineStr">
        <is>
          <t>991003267859702656</t>
        </is>
      </c>
      <c r="BA115" t="inlineStr">
        <is>
          <t>2263311510002656</t>
        </is>
      </c>
      <c r="BB115" t="inlineStr">
        <is>
          <t>BOOK</t>
        </is>
      </c>
      <c r="BE115" t="inlineStr">
        <is>
          <t>32285000602572</t>
        </is>
      </c>
      <c r="BF115" t="inlineStr">
        <is>
          <t>893692550</t>
        </is>
      </c>
    </row>
    <row r="116">
      <c r="A116" t="inlineStr">
        <is>
          <t>No</t>
        </is>
      </c>
      <c r="B116" t="inlineStr">
        <is>
          <t>CURAL</t>
        </is>
      </c>
      <c r="C116" t="inlineStr">
        <is>
          <t>SHELVES</t>
        </is>
      </c>
      <c r="D116" t="inlineStr">
        <is>
          <t>PQ2205.Z5 L65 1947</t>
        </is>
      </c>
      <c r="E116" t="inlineStr">
        <is>
          <t>0                      PQ 2205000Z  5                  L  65          1947</t>
        </is>
      </c>
      <c r="F116" t="inlineStr">
        <is>
          <t>Chateaubriand, Madame Récamier et les Mémoires d'outre-tombe (1830-1850) : d'après des documents inédits / Maurice Levaillant.</t>
        </is>
      </c>
      <c r="H116" t="inlineStr">
        <is>
          <t>No</t>
        </is>
      </c>
      <c r="I116" t="inlineStr">
        <is>
          <t>1</t>
        </is>
      </c>
      <c r="J116" t="inlineStr">
        <is>
          <t>No</t>
        </is>
      </c>
      <c r="K116" t="inlineStr">
        <is>
          <t>Yes</t>
        </is>
      </c>
      <c r="L116" t="inlineStr">
        <is>
          <t>0</t>
        </is>
      </c>
      <c r="M116" t="inlineStr">
        <is>
          <t>Levaillant, Maurice, 1883-1961.</t>
        </is>
      </c>
      <c r="N116" t="inlineStr">
        <is>
          <t>Paris : Delagrave, 1947.</t>
        </is>
      </c>
      <c r="O116" t="inlineStr">
        <is>
          <t>1947</t>
        </is>
      </c>
      <c r="P116" t="inlineStr">
        <is>
          <t>3. éd. rev.</t>
        </is>
      </c>
      <c r="Q116" t="inlineStr">
        <is>
          <t>fre</t>
        </is>
      </c>
      <c r="R116" t="inlineStr">
        <is>
          <t xml:space="preserve">fr </t>
        </is>
      </c>
      <c r="T116" t="inlineStr">
        <is>
          <t xml:space="preserve">PQ </t>
        </is>
      </c>
      <c r="U116" t="n">
        <v>2</v>
      </c>
      <c r="V116" t="n">
        <v>2</v>
      </c>
      <c r="W116" t="inlineStr">
        <is>
          <t>1996-06-06</t>
        </is>
      </c>
      <c r="X116" t="inlineStr">
        <is>
          <t>1996-06-06</t>
        </is>
      </c>
      <c r="Y116" t="inlineStr">
        <is>
          <t>1996-06-05</t>
        </is>
      </c>
      <c r="Z116" t="inlineStr">
        <is>
          <t>1996-06-05</t>
        </is>
      </c>
      <c r="AA116" t="n">
        <v>79</v>
      </c>
      <c r="AB116" t="n">
        <v>48</v>
      </c>
      <c r="AC116" t="n">
        <v>112</v>
      </c>
      <c r="AD116" t="n">
        <v>2</v>
      </c>
      <c r="AE116" t="n">
        <v>3</v>
      </c>
      <c r="AF116" t="n">
        <v>5</v>
      </c>
      <c r="AG116" t="n">
        <v>8</v>
      </c>
      <c r="AH116" t="n">
        <v>2</v>
      </c>
      <c r="AI116" t="n">
        <v>2</v>
      </c>
      <c r="AJ116" t="n">
        <v>0</v>
      </c>
      <c r="AK116" t="n">
        <v>2</v>
      </c>
      <c r="AL116" t="n">
        <v>3</v>
      </c>
      <c r="AM116" t="n">
        <v>3</v>
      </c>
      <c r="AN116" t="n">
        <v>1</v>
      </c>
      <c r="AO116" t="n">
        <v>2</v>
      </c>
      <c r="AP116" t="n">
        <v>0</v>
      </c>
      <c r="AQ116" t="n">
        <v>0</v>
      </c>
      <c r="AR116" t="inlineStr">
        <is>
          <t>No</t>
        </is>
      </c>
      <c r="AS116" t="inlineStr">
        <is>
          <t>Yes</t>
        </is>
      </c>
      <c r="AT116">
        <f>HYPERLINK("http://catalog.hathitrust.org/Record/101982287","HathiTrust Record")</f>
        <v/>
      </c>
      <c r="AU116">
        <f>HYPERLINK("https://creighton-primo.hosted.exlibrisgroup.com/primo-explore/search?tab=default_tab&amp;search_scope=EVERYTHING&amp;vid=01CRU&amp;lang=en_US&amp;offset=0&amp;query=any,contains,991004598589702656","Catalog Record")</f>
        <v/>
      </c>
      <c r="AV116">
        <f>HYPERLINK("http://www.worldcat.org/oclc/4160587","WorldCat Record")</f>
        <v/>
      </c>
      <c r="AW116" t="inlineStr">
        <is>
          <t>10568022928:fre</t>
        </is>
      </c>
      <c r="AX116" t="inlineStr">
        <is>
          <t>4160587</t>
        </is>
      </c>
      <c r="AY116" t="inlineStr">
        <is>
          <t>991004598589702656</t>
        </is>
      </c>
      <c r="AZ116" t="inlineStr">
        <is>
          <t>991004598589702656</t>
        </is>
      </c>
      <c r="BA116" t="inlineStr">
        <is>
          <t>2272682590002656</t>
        </is>
      </c>
      <c r="BB116" t="inlineStr">
        <is>
          <t>BOOK</t>
        </is>
      </c>
      <c r="BE116" t="inlineStr">
        <is>
          <t>32285002187887</t>
        </is>
      </c>
      <c r="BF116" t="inlineStr">
        <is>
          <t>893235697</t>
        </is>
      </c>
    </row>
    <row r="117">
      <c r="A117" t="inlineStr">
        <is>
          <t>No</t>
        </is>
      </c>
      <c r="B117" t="inlineStr">
        <is>
          <t>CURAL</t>
        </is>
      </c>
      <c r="C117" t="inlineStr">
        <is>
          <t>SHELVES</t>
        </is>
      </c>
      <c r="D117" t="inlineStr">
        <is>
          <t>PQ2205.Z5 M32 1969</t>
        </is>
      </c>
      <c r="E117" t="inlineStr">
        <is>
          <t>0                      PQ 2205000Z  5                  M  32          1969</t>
        </is>
      </c>
      <c r="F117" t="inlineStr">
        <is>
          <t>Chateaubriand : poet, statesman, lover / translated from the French by Vera Fraser.</t>
        </is>
      </c>
      <c r="H117" t="inlineStr">
        <is>
          <t>No</t>
        </is>
      </c>
      <c r="I117" t="inlineStr">
        <is>
          <t>1</t>
        </is>
      </c>
      <c r="J117" t="inlineStr">
        <is>
          <t>No</t>
        </is>
      </c>
      <c r="K117" t="inlineStr">
        <is>
          <t>Yes</t>
        </is>
      </c>
      <c r="L117" t="inlineStr">
        <is>
          <t>0</t>
        </is>
      </c>
      <c r="M117" t="inlineStr">
        <is>
          <t>Maurois, André, 1885-1967.</t>
        </is>
      </c>
      <c r="N117" t="inlineStr">
        <is>
          <t>New York : Greenwood Press, [1969]</t>
        </is>
      </c>
      <c r="O117" t="inlineStr">
        <is>
          <t>1969</t>
        </is>
      </c>
      <c r="Q117" t="inlineStr">
        <is>
          <t>eng</t>
        </is>
      </c>
      <c r="R117" t="inlineStr">
        <is>
          <t>nyu</t>
        </is>
      </c>
      <c r="T117" t="inlineStr">
        <is>
          <t xml:space="preserve">PQ </t>
        </is>
      </c>
      <c r="U117" t="n">
        <v>2</v>
      </c>
      <c r="V117" t="n">
        <v>2</v>
      </c>
      <c r="W117" t="inlineStr">
        <is>
          <t>1995-10-27</t>
        </is>
      </c>
      <c r="X117" t="inlineStr">
        <is>
          <t>1995-10-27</t>
        </is>
      </c>
      <c r="Y117" t="inlineStr">
        <is>
          <t>1992-11-30</t>
        </is>
      </c>
      <c r="Z117" t="inlineStr">
        <is>
          <t>1992-11-30</t>
        </is>
      </c>
      <c r="AA117" t="n">
        <v>162</v>
      </c>
      <c r="AB117" t="n">
        <v>157</v>
      </c>
      <c r="AC117" t="n">
        <v>965</v>
      </c>
      <c r="AD117" t="n">
        <v>1</v>
      </c>
      <c r="AE117" t="n">
        <v>8</v>
      </c>
      <c r="AF117" t="n">
        <v>9</v>
      </c>
      <c r="AG117" t="n">
        <v>49</v>
      </c>
      <c r="AH117" t="n">
        <v>5</v>
      </c>
      <c r="AI117" t="n">
        <v>18</v>
      </c>
      <c r="AJ117" t="n">
        <v>3</v>
      </c>
      <c r="AK117" t="n">
        <v>10</v>
      </c>
      <c r="AL117" t="n">
        <v>3</v>
      </c>
      <c r="AM117" t="n">
        <v>25</v>
      </c>
      <c r="AN117" t="n">
        <v>0</v>
      </c>
      <c r="AO117" t="n">
        <v>7</v>
      </c>
      <c r="AP117" t="n">
        <v>0</v>
      </c>
      <c r="AQ117" t="n">
        <v>1</v>
      </c>
      <c r="AR117" t="inlineStr">
        <is>
          <t>No</t>
        </is>
      </c>
      <c r="AS117" t="inlineStr">
        <is>
          <t>Yes</t>
        </is>
      </c>
      <c r="AT117">
        <f>HYPERLINK("http://catalog.hathitrust.org/Record/004457106","HathiTrust Record")</f>
        <v/>
      </c>
      <c r="AU117">
        <f>HYPERLINK("https://creighton-primo.hosted.exlibrisgroup.com/primo-explore/search?tab=default_tab&amp;search_scope=EVERYTHING&amp;vid=01CRU&amp;lang=en_US&amp;offset=0&amp;query=any,contains,991000230249702656","Catalog Record")</f>
        <v/>
      </c>
      <c r="AV117">
        <f>HYPERLINK("http://www.worldcat.org/oclc/67860","WorldCat Record")</f>
        <v/>
      </c>
      <c r="AW117" t="inlineStr">
        <is>
          <t>4757705507:eng</t>
        </is>
      </c>
      <c r="AX117" t="inlineStr">
        <is>
          <t>67860</t>
        </is>
      </c>
      <c r="AY117" t="inlineStr">
        <is>
          <t>991000230249702656</t>
        </is>
      </c>
      <c r="AZ117" t="inlineStr">
        <is>
          <t>991000230249702656</t>
        </is>
      </c>
      <c r="BA117" t="inlineStr">
        <is>
          <t>2258144780002656</t>
        </is>
      </c>
      <c r="BB117" t="inlineStr">
        <is>
          <t>BOOK</t>
        </is>
      </c>
      <c r="BD117" t="inlineStr">
        <is>
          <t>9780837127057</t>
        </is>
      </c>
      <c r="BE117" t="inlineStr">
        <is>
          <t>32285001410009</t>
        </is>
      </c>
      <c r="BF117" t="inlineStr">
        <is>
          <t>893431803</t>
        </is>
      </c>
    </row>
    <row r="118">
      <c r="A118" t="inlineStr">
        <is>
          <t>No</t>
        </is>
      </c>
      <c r="B118" t="inlineStr">
        <is>
          <t>CURAL</t>
        </is>
      </c>
      <c r="C118" t="inlineStr">
        <is>
          <t>SHELVES</t>
        </is>
      </c>
      <c r="D118" t="inlineStr">
        <is>
          <t>PQ2205.Z5 S9</t>
        </is>
      </c>
      <c r="E118" t="inlineStr">
        <is>
          <t>0                      PQ 2205000Z  5                  S  9</t>
        </is>
      </c>
      <c r="F118" t="inlineStr">
        <is>
          <t>Chateaubriand / by Richard Switzer.</t>
        </is>
      </c>
      <c r="H118" t="inlineStr">
        <is>
          <t>No</t>
        </is>
      </c>
      <c r="I118" t="inlineStr">
        <is>
          <t>1</t>
        </is>
      </c>
      <c r="J118" t="inlineStr">
        <is>
          <t>No</t>
        </is>
      </c>
      <c r="K118" t="inlineStr">
        <is>
          <t>No</t>
        </is>
      </c>
      <c r="L118" t="inlineStr">
        <is>
          <t>0</t>
        </is>
      </c>
      <c r="M118" t="inlineStr">
        <is>
          <t>Switzer, Richard.</t>
        </is>
      </c>
      <c r="N118" t="inlineStr">
        <is>
          <t>New York : Twayne Publishers, 1971.</t>
        </is>
      </c>
      <c r="O118" t="inlineStr">
        <is>
          <t>1971</t>
        </is>
      </c>
      <c r="Q118" t="inlineStr">
        <is>
          <t>eng</t>
        </is>
      </c>
      <c r="R118" t="inlineStr">
        <is>
          <t>nyu</t>
        </is>
      </c>
      <c r="S118" t="inlineStr">
        <is>
          <t>Twayne's world authors series, TWAS 142. France</t>
        </is>
      </c>
      <c r="T118" t="inlineStr">
        <is>
          <t xml:space="preserve">PQ </t>
        </is>
      </c>
      <c r="U118" t="n">
        <v>4</v>
      </c>
      <c r="V118" t="n">
        <v>4</v>
      </c>
      <c r="W118" t="inlineStr">
        <is>
          <t>1998-01-22</t>
        </is>
      </c>
      <c r="X118" t="inlineStr">
        <is>
          <t>1998-01-22</t>
        </is>
      </c>
      <c r="Y118" t="inlineStr">
        <is>
          <t>1991-05-09</t>
        </is>
      </c>
      <c r="Z118" t="inlineStr">
        <is>
          <t>1991-05-09</t>
        </is>
      </c>
      <c r="AA118" t="n">
        <v>600</v>
      </c>
      <c r="AB118" t="n">
        <v>554</v>
      </c>
      <c r="AC118" t="n">
        <v>696</v>
      </c>
      <c r="AD118" t="n">
        <v>2</v>
      </c>
      <c r="AE118" t="n">
        <v>4</v>
      </c>
      <c r="AF118" t="n">
        <v>27</v>
      </c>
      <c r="AG118" t="n">
        <v>33</v>
      </c>
      <c r="AH118" t="n">
        <v>10</v>
      </c>
      <c r="AI118" t="n">
        <v>13</v>
      </c>
      <c r="AJ118" t="n">
        <v>7</v>
      </c>
      <c r="AK118" t="n">
        <v>7</v>
      </c>
      <c r="AL118" t="n">
        <v>16</v>
      </c>
      <c r="AM118" t="n">
        <v>17</v>
      </c>
      <c r="AN118" t="n">
        <v>1</v>
      </c>
      <c r="AO118" t="n">
        <v>3</v>
      </c>
      <c r="AP118" t="n">
        <v>0</v>
      </c>
      <c r="AQ118" t="n">
        <v>0</v>
      </c>
      <c r="AR118" t="inlineStr">
        <is>
          <t>No</t>
        </is>
      </c>
      <c r="AS118" t="inlineStr">
        <is>
          <t>Yes</t>
        </is>
      </c>
      <c r="AT118">
        <f>HYPERLINK("http://catalog.hathitrust.org/Record/001205485","HathiTrust Record")</f>
        <v/>
      </c>
      <c r="AU118">
        <f>HYPERLINK("https://creighton-primo.hosted.exlibrisgroup.com/primo-explore/search?tab=default_tab&amp;search_scope=EVERYTHING&amp;vid=01CRU&amp;lang=en_US&amp;offset=0&amp;query=any,contains,991003637529702656","Catalog Record")</f>
        <v/>
      </c>
      <c r="AV118">
        <f>HYPERLINK("http://www.worldcat.org/oclc/151859","WorldCat Record")</f>
        <v/>
      </c>
      <c r="AW118" t="inlineStr">
        <is>
          <t>3863710233:eng</t>
        </is>
      </c>
      <c r="AX118" t="inlineStr">
        <is>
          <t>151859</t>
        </is>
      </c>
      <c r="AY118" t="inlineStr">
        <is>
          <t>991003637529702656</t>
        </is>
      </c>
      <c r="AZ118" t="inlineStr">
        <is>
          <t>991003637529702656</t>
        </is>
      </c>
      <c r="BA118" t="inlineStr">
        <is>
          <t>2261425260002656</t>
        </is>
      </c>
      <c r="BB118" t="inlineStr">
        <is>
          <t>BOOK</t>
        </is>
      </c>
      <c r="BE118" t="inlineStr">
        <is>
          <t>32285000602580</t>
        </is>
      </c>
      <c r="BF118" t="inlineStr">
        <is>
          <t>893505798</t>
        </is>
      </c>
    </row>
    <row r="119">
      <c r="A119" t="inlineStr">
        <is>
          <t>No</t>
        </is>
      </c>
      <c r="B119" t="inlineStr">
        <is>
          <t>CURAL</t>
        </is>
      </c>
      <c r="C119" t="inlineStr">
        <is>
          <t>SHELVES</t>
        </is>
      </c>
      <c r="D119" t="inlineStr">
        <is>
          <t>PQ221 .N53 2002</t>
        </is>
      </c>
      <c r="E119" t="inlineStr">
        <is>
          <t>0                      PQ 0221000N  53          2002</t>
        </is>
      </c>
      <c r="F119" t="inlineStr">
        <is>
          <t>Marriage fictions in Old French secular narratives, 1170-1250 : a critical re-evaluation of the Courtly Love debate / Keith Nickolaus.</t>
        </is>
      </c>
      <c r="H119" t="inlineStr">
        <is>
          <t>No</t>
        </is>
      </c>
      <c r="I119" t="inlineStr">
        <is>
          <t>1</t>
        </is>
      </c>
      <c r="J119" t="inlineStr">
        <is>
          <t>No</t>
        </is>
      </c>
      <c r="K119" t="inlineStr">
        <is>
          <t>No</t>
        </is>
      </c>
      <c r="L119" t="inlineStr">
        <is>
          <t>0</t>
        </is>
      </c>
      <c r="M119" t="inlineStr">
        <is>
          <t>Nickolaus, Keith.</t>
        </is>
      </c>
      <c r="N119" t="inlineStr">
        <is>
          <t>New York : Routledge, 2002.</t>
        </is>
      </c>
      <c r="O119" t="inlineStr">
        <is>
          <t>2002</t>
        </is>
      </c>
      <c r="Q119" t="inlineStr">
        <is>
          <t>eng</t>
        </is>
      </c>
      <c r="R119" t="inlineStr">
        <is>
          <t>nyu</t>
        </is>
      </c>
      <c r="S119" t="inlineStr">
        <is>
          <t>Studies in medieval history and culture ; v. 6</t>
        </is>
      </c>
      <c r="T119" t="inlineStr">
        <is>
          <t xml:space="preserve">PQ </t>
        </is>
      </c>
      <c r="U119" t="n">
        <v>2</v>
      </c>
      <c r="V119" t="n">
        <v>2</v>
      </c>
      <c r="W119" t="inlineStr">
        <is>
          <t>2007-11-30</t>
        </is>
      </c>
      <c r="X119" t="inlineStr">
        <is>
          <t>2007-11-30</t>
        </is>
      </c>
      <c r="Y119" t="inlineStr">
        <is>
          <t>2003-11-05</t>
        </is>
      </c>
      <c r="Z119" t="inlineStr">
        <is>
          <t>2003-11-05</t>
        </is>
      </c>
      <c r="AA119" t="n">
        <v>143</v>
      </c>
      <c r="AB119" t="n">
        <v>111</v>
      </c>
      <c r="AC119" t="n">
        <v>133</v>
      </c>
      <c r="AD119" t="n">
        <v>2</v>
      </c>
      <c r="AE119" t="n">
        <v>2</v>
      </c>
      <c r="AF119" t="n">
        <v>6</v>
      </c>
      <c r="AG119" t="n">
        <v>6</v>
      </c>
      <c r="AH119" t="n">
        <v>0</v>
      </c>
      <c r="AI119" t="n">
        <v>0</v>
      </c>
      <c r="AJ119" t="n">
        <v>3</v>
      </c>
      <c r="AK119" t="n">
        <v>3</v>
      </c>
      <c r="AL119" t="n">
        <v>4</v>
      </c>
      <c r="AM119" t="n">
        <v>4</v>
      </c>
      <c r="AN119" t="n">
        <v>1</v>
      </c>
      <c r="AO119" t="n">
        <v>1</v>
      </c>
      <c r="AP119" t="n">
        <v>0</v>
      </c>
      <c r="AQ119" t="n">
        <v>0</v>
      </c>
      <c r="AR119" t="inlineStr">
        <is>
          <t>No</t>
        </is>
      </c>
      <c r="AS119" t="inlineStr">
        <is>
          <t>No</t>
        </is>
      </c>
      <c r="AU119">
        <f>HYPERLINK("https://creighton-primo.hosted.exlibrisgroup.com/primo-explore/search?tab=default_tab&amp;search_scope=EVERYTHING&amp;vid=01CRU&amp;lang=en_US&amp;offset=0&amp;query=any,contains,991004152269702656","Catalog Record")</f>
        <v/>
      </c>
      <c r="AV119">
        <f>HYPERLINK("http://www.worldcat.org/oclc/47650457","WorldCat Record")</f>
        <v/>
      </c>
      <c r="AW119" t="inlineStr">
        <is>
          <t>4241427857:eng</t>
        </is>
      </c>
      <c r="AX119" t="inlineStr">
        <is>
          <t>47650457</t>
        </is>
      </c>
      <c r="AY119" t="inlineStr">
        <is>
          <t>991004152269702656</t>
        </is>
      </c>
      <c r="AZ119" t="inlineStr">
        <is>
          <t>991004152269702656</t>
        </is>
      </c>
      <c r="BA119" t="inlineStr">
        <is>
          <t>2260202130002656</t>
        </is>
      </c>
      <c r="BB119" t="inlineStr">
        <is>
          <t>BOOK</t>
        </is>
      </c>
      <c r="BD119" t="inlineStr">
        <is>
          <t>9780415937221</t>
        </is>
      </c>
      <c r="BE119" t="inlineStr">
        <is>
          <t>32285004793898</t>
        </is>
      </c>
      <c r="BF119" t="inlineStr">
        <is>
          <t>893806731</t>
        </is>
      </c>
    </row>
    <row r="120">
      <c r="A120" t="inlineStr">
        <is>
          <t>No</t>
        </is>
      </c>
      <c r="B120" t="inlineStr">
        <is>
          <t>CURAL</t>
        </is>
      </c>
      <c r="C120" t="inlineStr">
        <is>
          <t>SHELVES</t>
        </is>
      </c>
      <c r="D120" t="inlineStr">
        <is>
          <t>PQ2216.S3 E5 1948</t>
        </is>
      </c>
      <c r="E120" t="inlineStr">
        <is>
          <t>0                      PQ 2216000S  3                  E  5           1948</t>
        </is>
      </c>
      <c r="F120" t="inlineStr">
        <is>
          <t>Sapho, by Alphonse Daudet. Manon Lescaut, by Antoine François Prévost. Carmen, by Prosper Mérimée.</t>
        </is>
      </c>
      <c r="H120" t="inlineStr">
        <is>
          <t>No</t>
        </is>
      </c>
      <c r="I120" t="inlineStr">
        <is>
          <t>1</t>
        </is>
      </c>
      <c r="J120" t="inlineStr">
        <is>
          <t>No</t>
        </is>
      </c>
      <c r="K120" t="inlineStr">
        <is>
          <t>No</t>
        </is>
      </c>
      <c r="L120" t="inlineStr">
        <is>
          <t>0</t>
        </is>
      </c>
      <c r="M120" t="inlineStr">
        <is>
          <t>Daudet, Alphonse, 1840-1897.</t>
        </is>
      </c>
      <c r="N120" t="inlineStr">
        <is>
          <t>New York, Modern Library [1948?]</t>
        </is>
      </c>
      <c r="O120" t="inlineStr">
        <is>
          <t>1948</t>
        </is>
      </c>
      <c r="Q120" t="inlineStr">
        <is>
          <t>eng</t>
        </is>
      </c>
      <c r="R120" t="inlineStr">
        <is>
          <t>___</t>
        </is>
      </c>
      <c r="S120" t="inlineStr">
        <is>
          <t>The modern library of the world's best books</t>
        </is>
      </c>
      <c r="T120" t="inlineStr">
        <is>
          <t xml:space="preserve">PQ </t>
        </is>
      </c>
      <c r="U120" t="n">
        <v>1</v>
      </c>
      <c r="V120" t="n">
        <v>1</v>
      </c>
      <c r="W120" t="inlineStr">
        <is>
          <t>2002-11-07</t>
        </is>
      </c>
      <c r="X120" t="inlineStr">
        <is>
          <t>2002-11-07</t>
        </is>
      </c>
      <c r="Y120" t="inlineStr">
        <is>
          <t>1991-05-09</t>
        </is>
      </c>
      <c r="Z120" t="inlineStr">
        <is>
          <t>1991-05-09</t>
        </is>
      </c>
      <c r="AA120" t="n">
        <v>148</v>
      </c>
      <c r="AB120" t="n">
        <v>138</v>
      </c>
      <c r="AC120" t="n">
        <v>611</v>
      </c>
      <c r="AD120" t="n">
        <v>4</v>
      </c>
      <c r="AE120" t="n">
        <v>5</v>
      </c>
      <c r="AF120" t="n">
        <v>7</v>
      </c>
      <c r="AG120" t="n">
        <v>29</v>
      </c>
      <c r="AH120" t="n">
        <v>3</v>
      </c>
      <c r="AI120" t="n">
        <v>11</v>
      </c>
      <c r="AJ120" t="n">
        <v>0</v>
      </c>
      <c r="AK120" t="n">
        <v>6</v>
      </c>
      <c r="AL120" t="n">
        <v>2</v>
      </c>
      <c r="AM120" t="n">
        <v>13</v>
      </c>
      <c r="AN120" t="n">
        <v>3</v>
      </c>
      <c r="AO120" t="n">
        <v>4</v>
      </c>
      <c r="AP120" t="n">
        <v>0</v>
      </c>
      <c r="AQ120" t="n">
        <v>0</v>
      </c>
      <c r="AR120" t="inlineStr">
        <is>
          <t>No</t>
        </is>
      </c>
      <c r="AS120" t="inlineStr">
        <is>
          <t>No</t>
        </is>
      </c>
      <c r="AT120">
        <f>HYPERLINK("http://catalog.hathitrust.org/Record/001359898","HathiTrust Record")</f>
        <v/>
      </c>
      <c r="AU120">
        <f>HYPERLINK("https://creighton-primo.hosted.exlibrisgroup.com/primo-explore/search?tab=default_tab&amp;search_scope=EVERYTHING&amp;vid=01CRU&amp;lang=en_US&amp;offset=0&amp;query=any,contains,991003313869702656","Catalog Record")</f>
        <v/>
      </c>
      <c r="AV120">
        <f>HYPERLINK("http://www.worldcat.org/oclc/838476","WorldCat Record")</f>
        <v/>
      </c>
      <c r="AW120" t="inlineStr">
        <is>
          <t>3373692202:eng</t>
        </is>
      </c>
      <c r="AX120" t="inlineStr">
        <is>
          <t>838476</t>
        </is>
      </c>
      <c r="AY120" t="inlineStr">
        <is>
          <t>991003313869702656</t>
        </is>
      </c>
      <c r="AZ120" t="inlineStr">
        <is>
          <t>991003313869702656</t>
        </is>
      </c>
      <c r="BA120" t="inlineStr">
        <is>
          <t>2269140630002656</t>
        </is>
      </c>
      <c r="BB120" t="inlineStr">
        <is>
          <t>BOOK</t>
        </is>
      </c>
      <c r="BE120" t="inlineStr">
        <is>
          <t>32285000602606</t>
        </is>
      </c>
      <c r="BF120" t="inlineStr">
        <is>
          <t>893258301</t>
        </is>
      </c>
    </row>
    <row r="121">
      <c r="A121" t="inlineStr">
        <is>
          <t>No</t>
        </is>
      </c>
      <c r="B121" t="inlineStr">
        <is>
          <t>CURAL</t>
        </is>
      </c>
      <c r="C121" t="inlineStr">
        <is>
          <t>SHELVES</t>
        </is>
      </c>
      <c r="D121" t="inlineStr">
        <is>
          <t>PQ2220.D723 Z654</t>
        </is>
      </c>
      <c r="E121" t="inlineStr">
        <is>
          <t>0                      PQ 2220000D  723                Z  654</t>
        </is>
      </c>
      <c r="F121" t="inlineStr">
        <is>
          <t>Lautréamont.</t>
        </is>
      </c>
      <c r="H121" t="inlineStr">
        <is>
          <t>No</t>
        </is>
      </c>
      <c r="I121" t="inlineStr">
        <is>
          <t>1</t>
        </is>
      </c>
      <c r="J121" t="inlineStr">
        <is>
          <t>No</t>
        </is>
      </c>
      <c r="K121" t="inlineStr">
        <is>
          <t>No</t>
        </is>
      </c>
      <c r="L121" t="inlineStr">
        <is>
          <t>0</t>
        </is>
      </c>
      <c r="M121" t="inlineStr">
        <is>
          <t>Fowlie, Wallace, 1908-1998.</t>
        </is>
      </c>
      <c r="N121" t="inlineStr">
        <is>
          <t>New York, Twayne Publishers [1973]</t>
        </is>
      </c>
      <c r="O121" t="inlineStr">
        <is>
          <t>1973</t>
        </is>
      </c>
      <c r="Q121" t="inlineStr">
        <is>
          <t>eng</t>
        </is>
      </c>
      <c r="R121" t="inlineStr">
        <is>
          <t>nyu</t>
        </is>
      </c>
      <c r="S121" t="inlineStr">
        <is>
          <t>Twayne's world authors series, TWAS 284. France</t>
        </is>
      </c>
      <c r="T121" t="inlineStr">
        <is>
          <t xml:space="preserve">PQ </t>
        </is>
      </c>
      <c r="U121" t="n">
        <v>3</v>
      </c>
      <c r="V121" t="n">
        <v>3</v>
      </c>
      <c r="W121" t="inlineStr">
        <is>
          <t>2003-12-22</t>
        </is>
      </c>
      <c r="X121" t="inlineStr">
        <is>
          <t>2003-12-22</t>
        </is>
      </c>
      <c r="Y121" t="inlineStr">
        <is>
          <t>1997-05-15</t>
        </is>
      </c>
      <c r="Z121" t="inlineStr">
        <is>
          <t>1997-05-15</t>
        </is>
      </c>
      <c r="AA121" t="n">
        <v>632</v>
      </c>
      <c r="AB121" t="n">
        <v>545</v>
      </c>
      <c r="AC121" t="n">
        <v>552</v>
      </c>
      <c r="AD121" t="n">
        <v>4</v>
      </c>
      <c r="AE121" t="n">
        <v>4</v>
      </c>
      <c r="AF121" t="n">
        <v>24</v>
      </c>
      <c r="AG121" t="n">
        <v>24</v>
      </c>
      <c r="AH121" t="n">
        <v>10</v>
      </c>
      <c r="AI121" t="n">
        <v>10</v>
      </c>
      <c r="AJ121" t="n">
        <v>6</v>
      </c>
      <c r="AK121" t="n">
        <v>6</v>
      </c>
      <c r="AL121" t="n">
        <v>12</v>
      </c>
      <c r="AM121" t="n">
        <v>12</v>
      </c>
      <c r="AN121" t="n">
        <v>3</v>
      </c>
      <c r="AO121" t="n">
        <v>3</v>
      </c>
      <c r="AP121" t="n">
        <v>0</v>
      </c>
      <c r="AQ121" t="n">
        <v>0</v>
      </c>
      <c r="AR121" t="inlineStr">
        <is>
          <t>No</t>
        </is>
      </c>
      <c r="AS121" t="inlineStr">
        <is>
          <t>Yes</t>
        </is>
      </c>
      <c r="AT121">
        <f>HYPERLINK("http://catalog.hathitrust.org/Record/001206562","HathiTrust Record")</f>
        <v/>
      </c>
      <c r="AU121">
        <f>HYPERLINK("https://creighton-primo.hosted.exlibrisgroup.com/primo-explore/search?tab=default_tab&amp;search_scope=EVERYTHING&amp;vid=01CRU&amp;lang=en_US&amp;offset=0&amp;query=any,contains,991003161989702656","Catalog Record")</f>
        <v/>
      </c>
      <c r="AV121">
        <f>HYPERLINK("http://www.worldcat.org/oclc/700814","WorldCat Record")</f>
        <v/>
      </c>
      <c r="AW121" t="inlineStr">
        <is>
          <t>3943588001:eng</t>
        </is>
      </c>
      <c r="AX121" t="inlineStr">
        <is>
          <t>700814</t>
        </is>
      </c>
      <c r="AY121" t="inlineStr">
        <is>
          <t>991003161989702656</t>
        </is>
      </c>
      <c r="AZ121" t="inlineStr">
        <is>
          <t>991003161989702656</t>
        </is>
      </c>
      <c r="BA121" t="inlineStr">
        <is>
          <t>2255459010002656</t>
        </is>
      </c>
      <c r="BB121" t="inlineStr">
        <is>
          <t>BOOK</t>
        </is>
      </c>
      <c r="BD121" t="inlineStr">
        <is>
          <t>9780805725117</t>
        </is>
      </c>
      <c r="BE121" t="inlineStr">
        <is>
          <t>32285002654464</t>
        </is>
      </c>
      <c r="BF121" t="inlineStr">
        <is>
          <t>893498996</t>
        </is>
      </c>
    </row>
    <row r="122">
      <c r="A122" t="inlineStr">
        <is>
          <t>No</t>
        </is>
      </c>
      <c r="B122" t="inlineStr">
        <is>
          <t>CURAL</t>
        </is>
      </c>
      <c r="C122" t="inlineStr">
        <is>
          <t>SHELVES</t>
        </is>
      </c>
      <c r="D122" t="inlineStr">
        <is>
          <t>PQ2230 .S84</t>
        </is>
      </c>
      <c r="E122" t="inlineStr">
        <is>
          <t>0                      PQ 2230000S  84</t>
        </is>
      </c>
      <c r="F122" t="inlineStr">
        <is>
          <t>Alexandre Dumas (père) / by Richard S. Stowe.</t>
        </is>
      </c>
      <c r="H122" t="inlineStr">
        <is>
          <t>No</t>
        </is>
      </c>
      <c r="I122" t="inlineStr">
        <is>
          <t>1</t>
        </is>
      </c>
      <c r="J122" t="inlineStr">
        <is>
          <t>No</t>
        </is>
      </c>
      <c r="K122" t="inlineStr">
        <is>
          <t>No</t>
        </is>
      </c>
      <c r="L122" t="inlineStr">
        <is>
          <t>0</t>
        </is>
      </c>
      <c r="M122" t="inlineStr">
        <is>
          <t>Stowe, Richard S. (Richard Scribner), 1925-2001.</t>
        </is>
      </c>
      <c r="N122" t="inlineStr">
        <is>
          <t>Boston : Twayne Publishers, c1976.</t>
        </is>
      </c>
      <c r="O122" t="inlineStr">
        <is>
          <t>1976</t>
        </is>
      </c>
      <c r="Q122" t="inlineStr">
        <is>
          <t>eng</t>
        </is>
      </c>
      <c r="R122" t="inlineStr">
        <is>
          <t>mau</t>
        </is>
      </c>
      <c r="S122" t="inlineStr">
        <is>
          <t>Twayne's world authors series ; TWAS 388 : France</t>
        </is>
      </c>
      <c r="T122" t="inlineStr">
        <is>
          <t xml:space="preserve">PQ </t>
        </is>
      </c>
      <c r="U122" t="n">
        <v>2</v>
      </c>
      <c r="V122" t="n">
        <v>2</v>
      </c>
      <c r="W122" t="inlineStr">
        <is>
          <t>1994-01-19</t>
        </is>
      </c>
      <c r="X122" t="inlineStr">
        <is>
          <t>1994-01-19</t>
        </is>
      </c>
      <c r="Y122" t="inlineStr">
        <is>
          <t>1990-02-21</t>
        </is>
      </c>
      <c r="Z122" t="inlineStr">
        <is>
          <t>1990-02-21</t>
        </is>
      </c>
      <c r="AA122" t="n">
        <v>925</v>
      </c>
      <c r="AB122" t="n">
        <v>848</v>
      </c>
      <c r="AC122" t="n">
        <v>949</v>
      </c>
      <c r="AD122" t="n">
        <v>6</v>
      </c>
      <c r="AE122" t="n">
        <v>6</v>
      </c>
      <c r="AF122" t="n">
        <v>29</v>
      </c>
      <c r="AG122" t="n">
        <v>32</v>
      </c>
      <c r="AH122" t="n">
        <v>10</v>
      </c>
      <c r="AI122" t="n">
        <v>12</v>
      </c>
      <c r="AJ122" t="n">
        <v>8</v>
      </c>
      <c r="AK122" t="n">
        <v>8</v>
      </c>
      <c r="AL122" t="n">
        <v>15</v>
      </c>
      <c r="AM122" t="n">
        <v>17</v>
      </c>
      <c r="AN122" t="n">
        <v>4</v>
      </c>
      <c r="AO122" t="n">
        <v>4</v>
      </c>
      <c r="AP122" t="n">
        <v>0</v>
      </c>
      <c r="AQ122" t="n">
        <v>0</v>
      </c>
      <c r="AR122" t="inlineStr">
        <is>
          <t>No</t>
        </is>
      </c>
      <c r="AS122" t="inlineStr">
        <is>
          <t>Yes</t>
        </is>
      </c>
      <c r="AT122">
        <f>HYPERLINK("http://catalog.hathitrust.org/Record/000686160","HathiTrust Record")</f>
        <v/>
      </c>
      <c r="AU122">
        <f>HYPERLINK("https://creighton-primo.hosted.exlibrisgroup.com/primo-explore/search?tab=default_tab&amp;search_scope=EVERYTHING&amp;vid=01CRU&amp;lang=en_US&amp;offset=0&amp;query=any,contains,991003962409702656","Catalog Record")</f>
        <v/>
      </c>
      <c r="AV122">
        <f>HYPERLINK("http://www.worldcat.org/oclc/1976039","WorldCat Record")</f>
        <v/>
      </c>
      <c r="AW122" t="inlineStr">
        <is>
          <t>3943556234:eng</t>
        </is>
      </c>
      <c r="AX122" t="inlineStr">
        <is>
          <t>1976039</t>
        </is>
      </c>
      <c r="AY122" t="inlineStr">
        <is>
          <t>991003962409702656</t>
        </is>
      </c>
      <c r="AZ122" t="inlineStr">
        <is>
          <t>991003962409702656</t>
        </is>
      </c>
      <c r="BA122" t="inlineStr">
        <is>
          <t>2266611030002656</t>
        </is>
      </c>
      <c r="BB122" t="inlineStr">
        <is>
          <t>BOOK</t>
        </is>
      </c>
      <c r="BD122" t="inlineStr">
        <is>
          <t>9780805762303</t>
        </is>
      </c>
      <c r="BE122" t="inlineStr">
        <is>
          <t>32285000048685</t>
        </is>
      </c>
      <c r="BF122" t="inlineStr">
        <is>
          <t>893531817</t>
        </is>
      </c>
    </row>
    <row r="123">
      <c r="A123" t="inlineStr">
        <is>
          <t>No</t>
        </is>
      </c>
      <c r="B123" t="inlineStr">
        <is>
          <t>CURAL</t>
        </is>
      </c>
      <c r="C123" t="inlineStr">
        <is>
          <t>SHELVES</t>
        </is>
      </c>
      <c r="D123" t="inlineStr">
        <is>
          <t>PQ2231.Z5 R6</t>
        </is>
      </c>
      <c r="E123" t="inlineStr">
        <is>
          <t>0                      PQ 2231000Z  5                  R  6</t>
        </is>
      </c>
      <c r="F123" t="inlineStr">
        <is>
          <t>Alexandre Dumas / Michael Ross.</t>
        </is>
      </c>
      <c r="H123" t="inlineStr">
        <is>
          <t>No</t>
        </is>
      </c>
      <c r="I123" t="inlineStr">
        <is>
          <t>1</t>
        </is>
      </c>
      <c r="J123" t="inlineStr">
        <is>
          <t>No</t>
        </is>
      </c>
      <c r="K123" t="inlineStr">
        <is>
          <t>No</t>
        </is>
      </c>
      <c r="L123" t="inlineStr">
        <is>
          <t>0</t>
        </is>
      </c>
      <c r="M123" t="inlineStr">
        <is>
          <t>Ross, Michael, 1905-</t>
        </is>
      </c>
      <c r="N123" t="inlineStr">
        <is>
          <t>Newton Abbot [England] ; North Pomfret, Vt. : David &amp; Charles, c1981.</t>
        </is>
      </c>
      <c r="O123" t="inlineStr">
        <is>
          <t>1981</t>
        </is>
      </c>
      <c r="Q123" t="inlineStr">
        <is>
          <t>eng</t>
        </is>
      </c>
      <c r="R123" t="inlineStr">
        <is>
          <t>enk</t>
        </is>
      </c>
      <c r="T123" t="inlineStr">
        <is>
          <t xml:space="preserve">PQ </t>
        </is>
      </c>
      <c r="U123" t="n">
        <v>2</v>
      </c>
      <c r="V123" t="n">
        <v>2</v>
      </c>
      <c r="W123" t="inlineStr">
        <is>
          <t>1994-01-19</t>
        </is>
      </c>
      <c r="X123" t="inlineStr">
        <is>
          <t>1994-01-19</t>
        </is>
      </c>
      <c r="Y123" t="inlineStr">
        <is>
          <t>1991-05-09</t>
        </is>
      </c>
      <c r="Z123" t="inlineStr">
        <is>
          <t>1991-05-09</t>
        </is>
      </c>
      <c r="AA123" t="n">
        <v>272</v>
      </c>
      <c r="AB123" t="n">
        <v>175</v>
      </c>
      <c r="AC123" t="n">
        <v>177</v>
      </c>
      <c r="AD123" t="n">
        <v>2</v>
      </c>
      <c r="AE123" t="n">
        <v>2</v>
      </c>
      <c r="AF123" t="n">
        <v>3</v>
      </c>
      <c r="AG123" t="n">
        <v>3</v>
      </c>
      <c r="AH123" t="n">
        <v>0</v>
      </c>
      <c r="AI123" t="n">
        <v>0</v>
      </c>
      <c r="AJ123" t="n">
        <v>1</v>
      </c>
      <c r="AK123" t="n">
        <v>1</v>
      </c>
      <c r="AL123" t="n">
        <v>2</v>
      </c>
      <c r="AM123" t="n">
        <v>2</v>
      </c>
      <c r="AN123" t="n">
        <v>1</v>
      </c>
      <c r="AO123" t="n">
        <v>1</v>
      </c>
      <c r="AP123" t="n">
        <v>0</v>
      </c>
      <c r="AQ123" t="n">
        <v>0</v>
      </c>
      <c r="AR123" t="inlineStr">
        <is>
          <t>No</t>
        </is>
      </c>
      <c r="AS123" t="inlineStr">
        <is>
          <t>Yes</t>
        </is>
      </c>
      <c r="AT123">
        <f>HYPERLINK("http://catalog.hathitrust.org/Record/000738794","HathiTrust Record")</f>
        <v/>
      </c>
      <c r="AU123">
        <f>HYPERLINK("https://creighton-primo.hosted.exlibrisgroup.com/primo-explore/search?tab=default_tab&amp;search_scope=EVERYTHING&amp;vid=01CRU&amp;lang=en_US&amp;offset=0&amp;query=any,contains,991005107399702656","Catalog Record")</f>
        <v/>
      </c>
      <c r="AV123">
        <f>HYPERLINK("http://www.worldcat.org/oclc/7355816","WorldCat Record")</f>
        <v/>
      </c>
      <c r="AW123" t="inlineStr">
        <is>
          <t>446723:eng</t>
        </is>
      </c>
      <c r="AX123" t="inlineStr">
        <is>
          <t>7355816</t>
        </is>
      </c>
      <c r="AY123" t="inlineStr">
        <is>
          <t>991005107399702656</t>
        </is>
      </c>
      <c r="AZ123" t="inlineStr">
        <is>
          <t>991005107399702656</t>
        </is>
      </c>
      <c r="BA123" t="inlineStr">
        <is>
          <t>2256916780002656</t>
        </is>
      </c>
      <c r="BB123" t="inlineStr">
        <is>
          <t>BOOK</t>
        </is>
      </c>
      <c r="BD123" t="inlineStr">
        <is>
          <t>9780715377581</t>
        </is>
      </c>
      <c r="BE123" t="inlineStr">
        <is>
          <t>32285000602655</t>
        </is>
      </c>
      <c r="BF123" t="inlineStr">
        <is>
          <t>893719780</t>
        </is>
      </c>
    </row>
    <row r="124">
      <c r="A124" t="inlineStr">
        <is>
          <t>No</t>
        </is>
      </c>
      <c r="B124" t="inlineStr">
        <is>
          <t>CURAL</t>
        </is>
      </c>
      <c r="C124" t="inlineStr">
        <is>
          <t>SHELVES</t>
        </is>
      </c>
      <c r="D124" t="inlineStr">
        <is>
          <t>PQ2238.E7 C6</t>
        </is>
      </c>
      <c r="E124" t="inlineStr">
        <is>
          <t>0                      PQ 2238000E  7                  C  6</t>
        </is>
      </c>
      <c r="F124" t="inlineStr">
        <is>
          <t>The conscript : a story of the French war of 1813 / translated from the French of Erckmann-Chatrian.</t>
        </is>
      </c>
      <c r="H124" t="inlineStr">
        <is>
          <t>No</t>
        </is>
      </c>
      <c r="I124" t="inlineStr">
        <is>
          <t>1</t>
        </is>
      </c>
      <c r="J124" t="inlineStr">
        <is>
          <t>No</t>
        </is>
      </c>
      <c r="K124" t="inlineStr">
        <is>
          <t>No</t>
        </is>
      </c>
      <c r="L124" t="inlineStr">
        <is>
          <t>0</t>
        </is>
      </c>
      <c r="M124" t="inlineStr">
        <is>
          <t>Erckmann-Chatrian.</t>
        </is>
      </c>
      <c r="N124" t="inlineStr">
        <is>
          <t>New York : C. Scribner's Sons, 1898.</t>
        </is>
      </c>
      <c r="O124" t="inlineStr">
        <is>
          <t>1898</t>
        </is>
      </c>
      <c r="Q124" t="inlineStr">
        <is>
          <t>eng</t>
        </is>
      </c>
      <c r="R124" t="inlineStr">
        <is>
          <t>nyu</t>
        </is>
      </c>
      <c r="T124" t="inlineStr">
        <is>
          <t xml:space="preserve">PQ </t>
        </is>
      </c>
      <c r="U124" t="n">
        <v>1</v>
      </c>
      <c r="V124" t="n">
        <v>1</v>
      </c>
      <c r="W124" t="inlineStr">
        <is>
          <t>1998-12-15</t>
        </is>
      </c>
      <c r="X124" t="inlineStr">
        <is>
          <t>1998-12-15</t>
        </is>
      </c>
      <c r="Y124" t="inlineStr">
        <is>
          <t>1997-12-17</t>
        </is>
      </c>
      <c r="Z124" t="inlineStr">
        <is>
          <t>1997-12-17</t>
        </is>
      </c>
      <c r="AA124" t="n">
        <v>167</v>
      </c>
      <c r="AB124" t="n">
        <v>165</v>
      </c>
      <c r="AC124" t="n">
        <v>394</v>
      </c>
      <c r="AD124" t="n">
        <v>3</v>
      </c>
      <c r="AE124" t="n">
        <v>6</v>
      </c>
      <c r="AF124" t="n">
        <v>8</v>
      </c>
      <c r="AG124" t="n">
        <v>22</v>
      </c>
      <c r="AH124" t="n">
        <v>1</v>
      </c>
      <c r="AI124" t="n">
        <v>5</v>
      </c>
      <c r="AJ124" t="n">
        <v>4</v>
      </c>
      <c r="AK124" t="n">
        <v>6</v>
      </c>
      <c r="AL124" t="n">
        <v>2</v>
      </c>
      <c r="AM124" t="n">
        <v>11</v>
      </c>
      <c r="AN124" t="n">
        <v>2</v>
      </c>
      <c r="AO124" t="n">
        <v>5</v>
      </c>
      <c r="AP124" t="n">
        <v>0</v>
      </c>
      <c r="AQ124" t="n">
        <v>0</v>
      </c>
      <c r="AR124" t="inlineStr">
        <is>
          <t>Yes</t>
        </is>
      </c>
      <c r="AS124" t="inlineStr">
        <is>
          <t>No</t>
        </is>
      </c>
      <c r="AT124">
        <f>HYPERLINK("http://catalog.hathitrust.org/Record/007657360","HathiTrust Record")</f>
        <v/>
      </c>
      <c r="AU124">
        <f>HYPERLINK("https://creighton-primo.hosted.exlibrisgroup.com/primo-explore/search?tab=default_tab&amp;search_scope=EVERYTHING&amp;vid=01CRU&amp;lang=en_US&amp;offset=0&amp;query=any,contains,991002410099702656","Catalog Record")</f>
        <v/>
      </c>
      <c r="AV124">
        <f>HYPERLINK("http://www.worldcat.org/oclc/339269","WorldCat Record")</f>
        <v/>
      </c>
      <c r="AW124" t="inlineStr">
        <is>
          <t>3574824:eng</t>
        </is>
      </c>
      <c r="AX124" t="inlineStr">
        <is>
          <t>339269</t>
        </is>
      </c>
      <c r="AY124" t="inlineStr">
        <is>
          <t>991002410099702656</t>
        </is>
      </c>
      <c r="AZ124" t="inlineStr">
        <is>
          <t>991002410099702656</t>
        </is>
      </c>
      <c r="BA124" t="inlineStr">
        <is>
          <t>2259046370002656</t>
        </is>
      </c>
      <c r="BB124" t="inlineStr">
        <is>
          <t>BOOK</t>
        </is>
      </c>
      <c r="BE124" t="inlineStr">
        <is>
          <t>32285003292702</t>
        </is>
      </c>
      <c r="BF124" t="inlineStr">
        <is>
          <t>893704039</t>
        </is>
      </c>
    </row>
    <row r="125">
      <c r="A125" t="inlineStr">
        <is>
          <t>No</t>
        </is>
      </c>
      <c r="B125" t="inlineStr">
        <is>
          <t>CURAL</t>
        </is>
      </c>
      <c r="C125" t="inlineStr">
        <is>
          <t>SHELVES</t>
        </is>
      </c>
      <c r="D125" t="inlineStr">
        <is>
          <t>PQ2241.F352 R6</t>
        </is>
      </c>
      <c r="E125" t="inlineStr">
        <is>
          <t>0                      PQ 2241000F  352                R  6</t>
        </is>
      </c>
      <c r="F125" t="inlineStr">
        <is>
          <t>Les romans et le mariage: (roman) / Théophile de Ferrière.</t>
        </is>
      </c>
      <c r="H125" t="inlineStr">
        <is>
          <t>No</t>
        </is>
      </c>
      <c r="I125" t="inlineStr">
        <is>
          <t>1</t>
        </is>
      </c>
      <c r="J125" t="inlineStr">
        <is>
          <t>No</t>
        </is>
      </c>
      <c r="K125" t="inlineStr">
        <is>
          <t>No</t>
        </is>
      </c>
      <c r="L125" t="inlineStr">
        <is>
          <t>0</t>
        </is>
      </c>
      <c r="M125" t="inlineStr">
        <is>
          <t>Ferrière, Théophile de.</t>
        </is>
      </c>
      <c r="N125" t="inlineStr">
        <is>
          <t>Genève : Slatkine Reprints, 1973.</t>
        </is>
      </c>
      <c r="O125" t="inlineStr">
        <is>
          <t>1973</t>
        </is>
      </c>
      <c r="Q125" t="inlineStr">
        <is>
          <t>fre</t>
        </is>
      </c>
      <c r="R125" t="inlineStr">
        <is>
          <t xml:space="preserve">sz </t>
        </is>
      </c>
      <c r="T125" t="inlineStr">
        <is>
          <t xml:space="preserve">PQ </t>
        </is>
      </c>
      <c r="U125" t="n">
        <v>0</v>
      </c>
      <c r="V125" t="n">
        <v>0</v>
      </c>
      <c r="W125" t="inlineStr">
        <is>
          <t>2003-04-21</t>
        </is>
      </c>
      <c r="X125" t="inlineStr">
        <is>
          <t>2003-04-21</t>
        </is>
      </c>
      <c r="Y125" t="inlineStr">
        <is>
          <t>1997-05-15</t>
        </is>
      </c>
      <c r="Z125" t="inlineStr">
        <is>
          <t>1997-05-15</t>
        </is>
      </c>
      <c r="AA125" t="n">
        <v>29</v>
      </c>
      <c r="AB125" t="n">
        <v>20</v>
      </c>
      <c r="AC125" t="n">
        <v>21</v>
      </c>
      <c r="AD125" t="n">
        <v>1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0</v>
      </c>
      <c r="AM125" t="n">
        <v>0</v>
      </c>
      <c r="AN125" t="n">
        <v>0</v>
      </c>
      <c r="AO125" t="n">
        <v>0</v>
      </c>
      <c r="AP125" t="n">
        <v>0</v>
      </c>
      <c r="AQ125" t="n">
        <v>0</v>
      </c>
      <c r="AR125" t="inlineStr">
        <is>
          <t>No</t>
        </is>
      </c>
      <c r="AS125" t="inlineStr">
        <is>
          <t>No</t>
        </is>
      </c>
      <c r="AU125">
        <f>HYPERLINK("https://creighton-primo.hosted.exlibrisgroup.com/primo-explore/search?tab=default_tab&amp;search_scope=EVERYTHING&amp;vid=01CRU&amp;lang=en_US&amp;offset=0&amp;query=any,contains,991003538739702656","Catalog Record")</f>
        <v/>
      </c>
      <c r="AV125">
        <f>HYPERLINK("http://www.worldcat.org/oclc/1103555","WorldCat Record")</f>
        <v/>
      </c>
      <c r="AW125" t="inlineStr">
        <is>
          <t>365903158:fre</t>
        </is>
      </c>
      <c r="AX125" t="inlineStr">
        <is>
          <t>1103555</t>
        </is>
      </c>
      <c r="AY125" t="inlineStr">
        <is>
          <t>991003538739702656</t>
        </is>
      </c>
      <c r="AZ125" t="inlineStr">
        <is>
          <t>991003538739702656</t>
        </is>
      </c>
      <c r="BA125" t="inlineStr">
        <is>
          <t>2267181930002656</t>
        </is>
      </c>
      <c r="BB125" t="inlineStr">
        <is>
          <t>BOOK</t>
        </is>
      </c>
      <c r="BE125" t="inlineStr">
        <is>
          <t>32285002654530</t>
        </is>
      </c>
      <c r="BF125" t="inlineStr">
        <is>
          <t>893604894</t>
        </is>
      </c>
    </row>
    <row r="126">
      <c r="A126" t="inlineStr">
        <is>
          <t>No</t>
        </is>
      </c>
      <c r="B126" t="inlineStr">
        <is>
          <t>CURAL</t>
        </is>
      </c>
      <c r="C126" t="inlineStr">
        <is>
          <t>SHELVES</t>
        </is>
      </c>
      <c r="D126" t="inlineStr">
        <is>
          <t>PQ2247 .B8</t>
        </is>
      </c>
      <c r="E126" t="inlineStr">
        <is>
          <t>0                      PQ 2247000B  8</t>
        </is>
      </c>
      <c r="F126" t="inlineStr">
        <is>
          <t>Gustave Flaubert.</t>
        </is>
      </c>
      <c r="H126" t="inlineStr">
        <is>
          <t>No</t>
        </is>
      </c>
      <c r="I126" t="inlineStr">
        <is>
          <t>1</t>
        </is>
      </c>
      <c r="J126" t="inlineStr">
        <is>
          <t>No</t>
        </is>
      </c>
      <c r="K126" t="inlineStr">
        <is>
          <t>No</t>
        </is>
      </c>
      <c r="L126" t="inlineStr">
        <is>
          <t>0</t>
        </is>
      </c>
      <c r="M126" t="inlineStr">
        <is>
          <t>Buck, Stratton, 1906-</t>
        </is>
      </c>
      <c r="N126" t="inlineStr">
        <is>
          <t>New York, Twayne Publishers [1966]</t>
        </is>
      </c>
      <c r="O126" t="inlineStr">
        <is>
          <t>1966</t>
        </is>
      </c>
      <c r="Q126" t="inlineStr">
        <is>
          <t>eng</t>
        </is>
      </c>
      <c r="R126" t="inlineStr">
        <is>
          <t>nyu</t>
        </is>
      </c>
      <c r="S126" t="inlineStr">
        <is>
          <t>Twayne's world authors series, 3. France</t>
        </is>
      </c>
      <c r="T126" t="inlineStr">
        <is>
          <t xml:space="preserve">PQ </t>
        </is>
      </c>
      <c r="U126" t="n">
        <v>13</v>
      </c>
      <c r="V126" t="n">
        <v>13</v>
      </c>
      <c r="W126" t="inlineStr">
        <is>
          <t>2002-03-01</t>
        </is>
      </c>
      <c r="X126" t="inlineStr">
        <is>
          <t>2002-03-01</t>
        </is>
      </c>
      <c r="Y126" t="inlineStr">
        <is>
          <t>1997-05-15</t>
        </is>
      </c>
      <c r="Z126" t="inlineStr">
        <is>
          <t>1997-05-15</t>
        </is>
      </c>
      <c r="AA126" t="n">
        <v>1546</v>
      </c>
      <c r="AB126" t="n">
        <v>1437</v>
      </c>
      <c r="AC126" t="n">
        <v>1554</v>
      </c>
      <c r="AD126" t="n">
        <v>11</v>
      </c>
      <c r="AE126" t="n">
        <v>13</v>
      </c>
      <c r="AF126" t="n">
        <v>49</v>
      </c>
      <c r="AG126" t="n">
        <v>52</v>
      </c>
      <c r="AH126" t="n">
        <v>19</v>
      </c>
      <c r="AI126" t="n">
        <v>20</v>
      </c>
      <c r="AJ126" t="n">
        <v>10</v>
      </c>
      <c r="AK126" t="n">
        <v>10</v>
      </c>
      <c r="AL126" t="n">
        <v>21</v>
      </c>
      <c r="AM126" t="n">
        <v>21</v>
      </c>
      <c r="AN126" t="n">
        <v>10</v>
      </c>
      <c r="AO126" t="n">
        <v>12</v>
      </c>
      <c r="AP126" t="n">
        <v>0</v>
      </c>
      <c r="AQ126" t="n">
        <v>0</v>
      </c>
      <c r="AR126" t="inlineStr">
        <is>
          <t>No</t>
        </is>
      </c>
      <c r="AS126" t="inlineStr">
        <is>
          <t>Yes</t>
        </is>
      </c>
      <c r="AT126">
        <f>HYPERLINK("http://catalog.hathitrust.org/Record/001015033","HathiTrust Record")</f>
        <v/>
      </c>
      <c r="AU126">
        <f>HYPERLINK("https://creighton-primo.hosted.exlibrisgroup.com/primo-explore/search?tab=default_tab&amp;search_scope=EVERYTHING&amp;vid=01CRU&amp;lang=en_US&amp;offset=0&amp;query=any,contains,991002165669702656","Catalog Record")</f>
        <v/>
      </c>
      <c r="AV126">
        <f>HYPERLINK("http://www.worldcat.org/oclc/275189","WorldCat Record")</f>
        <v/>
      </c>
      <c r="AW126" t="inlineStr">
        <is>
          <t>461405:eng</t>
        </is>
      </c>
      <c r="AX126" t="inlineStr">
        <is>
          <t>275189</t>
        </is>
      </c>
      <c r="AY126" t="inlineStr">
        <is>
          <t>991002165669702656</t>
        </is>
      </c>
      <c r="AZ126" t="inlineStr">
        <is>
          <t>991002165669702656</t>
        </is>
      </c>
      <c r="BA126" t="inlineStr">
        <is>
          <t>2263619430002656</t>
        </is>
      </c>
      <c r="BB126" t="inlineStr">
        <is>
          <t>BOOK</t>
        </is>
      </c>
      <c r="BE126" t="inlineStr">
        <is>
          <t>32285002654589</t>
        </is>
      </c>
      <c r="BF126" t="inlineStr">
        <is>
          <t>893445000</t>
        </is>
      </c>
    </row>
    <row r="127">
      <c r="A127" t="inlineStr">
        <is>
          <t>No</t>
        </is>
      </c>
      <c r="B127" t="inlineStr">
        <is>
          <t>CURAL</t>
        </is>
      </c>
      <c r="C127" t="inlineStr">
        <is>
          <t>SHELVES</t>
        </is>
      </c>
      <c r="D127" t="inlineStr">
        <is>
          <t>PQ2247 .D8 1947</t>
        </is>
      </c>
      <c r="E127" t="inlineStr">
        <is>
          <t>0                      PQ 2247000D  8           1947</t>
        </is>
      </c>
      <c r="F127" t="inlineStr">
        <is>
          <t>Gustave Flaubert : l'homme et l'œuvre : avec des documents inédits.</t>
        </is>
      </c>
      <c r="H127" t="inlineStr">
        <is>
          <t>No</t>
        </is>
      </c>
      <c r="I127" t="inlineStr">
        <is>
          <t>1</t>
        </is>
      </c>
      <c r="J127" t="inlineStr">
        <is>
          <t>No</t>
        </is>
      </c>
      <c r="K127" t="inlineStr">
        <is>
          <t>No</t>
        </is>
      </c>
      <c r="L127" t="inlineStr">
        <is>
          <t>0</t>
        </is>
      </c>
      <c r="M127" t="inlineStr">
        <is>
          <t>Dumesnil, René, 1879-1967.</t>
        </is>
      </c>
      <c r="N127" t="inlineStr">
        <is>
          <t>Paris : Desclée, de Brouwer, [1947]</t>
        </is>
      </c>
      <c r="O127" t="inlineStr">
        <is>
          <t>1947</t>
        </is>
      </c>
      <c r="P127" t="inlineStr">
        <is>
          <t>3. éd.</t>
        </is>
      </c>
      <c r="Q127" t="inlineStr">
        <is>
          <t>fre</t>
        </is>
      </c>
      <c r="R127" t="inlineStr">
        <is>
          <t xml:space="preserve">xx </t>
        </is>
      </c>
      <c r="S127" t="inlineStr">
        <is>
          <t>Temps et visages ; 4</t>
        </is>
      </c>
      <c r="T127" t="inlineStr">
        <is>
          <t xml:space="preserve">PQ </t>
        </is>
      </c>
      <c r="U127" t="n">
        <v>3</v>
      </c>
      <c r="V127" t="n">
        <v>3</v>
      </c>
      <c r="W127" t="inlineStr">
        <is>
          <t>1996-07-31</t>
        </is>
      </c>
      <c r="X127" t="inlineStr">
        <is>
          <t>1996-07-31</t>
        </is>
      </c>
      <c r="Y127" t="inlineStr">
        <is>
          <t>1992-12-02</t>
        </is>
      </c>
      <c r="Z127" t="inlineStr">
        <is>
          <t>1992-12-02</t>
        </is>
      </c>
      <c r="AA127" t="n">
        <v>140</v>
      </c>
      <c r="AB127" t="n">
        <v>118</v>
      </c>
      <c r="AC127" t="n">
        <v>322</v>
      </c>
      <c r="AD127" t="n">
        <v>1</v>
      </c>
      <c r="AE127" t="n">
        <v>3</v>
      </c>
      <c r="AF127" t="n">
        <v>6</v>
      </c>
      <c r="AG127" t="n">
        <v>18</v>
      </c>
      <c r="AH127" t="n">
        <v>2</v>
      </c>
      <c r="AI127" t="n">
        <v>5</v>
      </c>
      <c r="AJ127" t="n">
        <v>2</v>
      </c>
      <c r="AK127" t="n">
        <v>5</v>
      </c>
      <c r="AL127" t="n">
        <v>5</v>
      </c>
      <c r="AM127" t="n">
        <v>11</v>
      </c>
      <c r="AN127" t="n">
        <v>0</v>
      </c>
      <c r="AO127" t="n">
        <v>2</v>
      </c>
      <c r="AP127" t="n">
        <v>0</v>
      </c>
      <c r="AQ127" t="n">
        <v>0</v>
      </c>
      <c r="AR127" t="inlineStr">
        <is>
          <t>No</t>
        </is>
      </c>
      <c r="AS127" t="inlineStr">
        <is>
          <t>Yes</t>
        </is>
      </c>
      <c r="AT127">
        <f>HYPERLINK("http://catalog.hathitrust.org/Record/008367821","HathiTrust Record")</f>
        <v/>
      </c>
      <c r="AU127">
        <f>HYPERLINK("https://creighton-primo.hosted.exlibrisgroup.com/primo-explore/search?tab=default_tab&amp;search_scope=EVERYTHING&amp;vid=01CRU&amp;lang=en_US&amp;offset=0&amp;query=any,contains,991003170129702656","Catalog Record")</f>
        <v/>
      </c>
      <c r="AV127">
        <f>HYPERLINK("http://www.worldcat.org/oclc/706601","WorldCat Record")</f>
        <v/>
      </c>
      <c r="AW127" t="inlineStr">
        <is>
          <t>5534417825:fre</t>
        </is>
      </c>
      <c r="AX127" t="inlineStr">
        <is>
          <t>706601</t>
        </is>
      </c>
      <c r="AY127" t="inlineStr">
        <is>
          <t>991003170129702656</t>
        </is>
      </c>
      <c r="AZ127" t="inlineStr">
        <is>
          <t>991003170129702656</t>
        </is>
      </c>
      <c r="BA127" t="inlineStr">
        <is>
          <t>2256499120002656</t>
        </is>
      </c>
      <c r="BB127" t="inlineStr">
        <is>
          <t>BOOK</t>
        </is>
      </c>
      <c r="BE127" t="inlineStr">
        <is>
          <t>32285001410975</t>
        </is>
      </c>
      <c r="BF127" t="inlineStr">
        <is>
          <t>893524493</t>
        </is>
      </c>
    </row>
    <row r="128">
      <c r="A128" t="inlineStr">
        <is>
          <t>No</t>
        </is>
      </c>
      <c r="B128" t="inlineStr">
        <is>
          <t>CURAL</t>
        </is>
      </c>
      <c r="C128" t="inlineStr">
        <is>
          <t>SHELVES</t>
        </is>
      </c>
      <c r="D128" t="inlineStr">
        <is>
          <t>PQ2247 .F3</t>
        </is>
      </c>
      <c r="E128" t="inlineStr">
        <is>
          <t>0                      PQ 2247000F  3</t>
        </is>
      </c>
      <c r="F128" t="inlineStr">
        <is>
          <t>Flaubert / par Émile Faguet.</t>
        </is>
      </c>
      <c r="H128" t="inlineStr">
        <is>
          <t>No</t>
        </is>
      </c>
      <c r="I128" t="inlineStr">
        <is>
          <t>1</t>
        </is>
      </c>
      <c r="J128" t="inlineStr">
        <is>
          <t>No</t>
        </is>
      </c>
      <c r="K128" t="inlineStr">
        <is>
          <t>No</t>
        </is>
      </c>
      <c r="L128" t="inlineStr">
        <is>
          <t>0</t>
        </is>
      </c>
      <c r="M128" t="inlineStr">
        <is>
          <t>Faguet, Émile, 1847-1916.</t>
        </is>
      </c>
      <c r="N128" t="inlineStr">
        <is>
          <t>Paris : Hachette et cie, 1899.</t>
        </is>
      </c>
      <c r="O128" t="inlineStr">
        <is>
          <t>1899</t>
        </is>
      </c>
      <c r="Q128" t="inlineStr">
        <is>
          <t>fre</t>
        </is>
      </c>
      <c r="R128" t="inlineStr">
        <is>
          <t xml:space="preserve">fr </t>
        </is>
      </c>
      <c r="S128" t="inlineStr">
        <is>
          <t>Les Grands écrivains français</t>
        </is>
      </c>
      <c r="T128" t="inlineStr">
        <is>
          <t xml:space="preserve">PQ </t>
        </is>
      </c>
      <c r="U128" t="n">
        <v>3</v>
      </c>
      <c r="V128" t="n">
        <v>3</v>
      </c>
      <c r="W128" t="inlineStr">
        <is>
          <t>1996-07-31</t>
        </is>
      </c>
      <c r="X128" t="inlineStr">
        <is>
          <t>1996-07-31</t>
        </is>
      </c>
      <c r="Y128" t="inlineStr">
        <is>
          <t>1992-12-02</t>
        </is>
      </c>
      <c r="Z128" t="inlineStr">
        <is>
          <t>1992-12-02</t>
        </is>
      </c>
      <c r="AA128" t="n">
        <v>163</v>
      </c>
      <c r="AB128" t="n">
        <v>120</v>
      </c>
      <c r="AC128" t="n">
        <v>222</v>
      </c>
      <c r="AD128" t="n">
        <v>2</v>
      </c>
      <c r="AE128" t="n">
        <v>3</v>
      </c>
      <c r="AF128" t="n">
        <v>3</v>
      </c>
      <c r="AG128" t="n">
        <v>7</v>
      </c>
      <c r="AH128" t="n">
        <v>0</v>
      </c>
      <c r="AI128" t="n">
        <v>1</v>
      </c>
      <c r="AJ128" t="n">
        <v>1</v>
      </c>
      <c r="AK128" t="n">
        <v>1</v>
      </c>
      <c r="AL128" t="n">
        <v>1</v>
      </c>
      <c r="AM128" t="n">
        <v>3</v>
      </c>
      <c r="AN128" t="n">
        <v>1</v>
      </c>
      <c r="AO128" t="n">
        <v>2</v>
      </c>
      <c r="AP128" t="n">
        <v>0</v>
      </c>
      <c r="AQ128" t="n">
        <v>0</v>
      </c>
      <c r="AR128" t="inlineStr">
        <is>
          <t>Yes</t>
        </is>
      </c>
      <c r="AS128" t="inlineStr">
        <is>
          <t>No</t>
        </is>
      </c>
      <c r="AT128">
        <f>HYPERLINK("http://catalog.hathitrust.org/Record/009038046","HathiTrust Record")</f>
        <v/>
      </c>
      <c r="AU128">
        <f>HYPERLINK("https://creighton-primo.hosted.exlibrisgroup.com/primo-explore/search?tab=default_tab&amp;search_scope=EVERYTHING&amp;vid=01CRU&amp;lang=en_US&amp;offset=0&amp;query=any,contains,991004800209702656","Catalog Record")</f>
        <v/>
      </c>
      <c r="AV128">
        <f>HYPERLINK("http://www.worldcat.org/oclc/5209755","WorldCat Record")</f>
        <v/>
      </c>
      <c r="AW128" t="inlineStr">
        <is>
          <t>1635474:fre</t>
        </is>
      </c>
      <c r="AX128" t="inlineStr">
        <is>
          <t>5209755</t>
        </is>
      </c>
      <c r="AY128" t="inlineStr">
        <is>
          <t>991004800209702656</t>
        </is>
      </c>
      <c r="AZ128" t="inlineStr">
        <is>
          <t>991004800209702656</t>
        </is>
      </c>
      <c r="BA128" t="inlineStr">
        <is>
          <t>2260629490002656</t>
        </is>
      </c>
      <c r="BB128" t="inlineStr">
        <is>
          <t>BOOK</t>
        </is>
      </c>
      <c r="BE128" t="inlineStr">
        <is>
          <t>32285001410967</t>
        </is>
      </c>
      <c r="BF128" t="inlineStr">
        <is>
          <t>893241853</t>
        </is>
      </c>
    </row>
    <row r="129">
      <c r="A129" t="inlineStr">
        <is>
          <t>No</t>
        </is>
      </c>
      <c r="B129" t="inlineStr">
        <is>
          <t>CURAL</t>
        </is>
      </c>
      <c r="C129" t="inlineStr">
        <is>
          <t>SHELVES</t>
        </is>
      </c>
      <c r="D129" t="inlineStr">
        <is>
          <t>PQ2247 .S78 1971b</t>
        </is>
      </c>
      <c r="E129" t="inlineStr">
        <is>
          <t>0                      PQ 2247000S  78          1971b</t>
        </is>
      </c>
      <c r="F129" t="inlineStr">
        <is>
          <t>Flaubert, the master : a critical and biographical study (1856-1880).</t>
        </is>
      </c>
      <c r="H129" t="inlineStr">
        <is>
          <t>No</t>
        </is>
      </c>
      <c r="I129" t="inlineStr">
        <is>
          <t>1</t>
        </is>
      </c>
      <c r="J129" t="inlineStr">
        <is>
          <t>No</t>
        </is>
      </c>
      <c r="K129" t="inlineStr">
        <is>
          <t>No</t>
        </is>
      </c>
      <c r="L129" t="inlineStr">
        <is>
          <t>0</t>
        </is>
      </c>
      <c r="M129" t="inlineStr">
        <is>
          <t>Starkie, Enid.</t>
        </is>
      </c>
      <c r="N129" t="inlineStr">
        <is>
          <t>New York, Atheneum, 1971.</t>
        </is>
      </c>
      <c r="O129" t="inlineStr">
        <is>
          <t>1971</t>
        </is>
      </c>
      <c r="P129" t="inlineStr">
        <is>
          <t>[1st American ed.]</t>
        </is>
      </c>
      <c r="Q129" t="inlineStr">
        <is>
          <t>eng</t>
        </is>
      </c>
      <c r="R129" t="inlineStr">
        <is>
          <t>nyu</t>
        </is>
      </c>
      <c r="T129" t="inlineStr">
        <is>
          <t xml:space="preserve">PQ </t>
        </is>
      </c>
      <c r="U129" t="n">
        <v>5</v>
      </c>
      <c r="V129" t="n">
        <v>5</v>
      </c>
      <c r="W129" t="inlineStr">
        <is>
          <t>2000-02-02</t>
        </is>
      </c>
      <c r="X129" t="inlineStr">
        <is>
          <t>2000-02-02</t>
        </is>
      </c>
      <c r="Y129" t="inlineStr">
        <is>
          <t>1997-09-15</t>
        </is>
      </c>
      <c r="Z129" t="inlineStr">
        <is>
          <t>1997-09-15</t>
        </is>
      </c>
      <c r="AA129" t="n">
        <v>779</v>
      </c>
      <c r="AB129" t="n">
        <v>737</v>
      </c>
      <c r="AC129" t="n">
        <v>778</v>
      </c>
      <c r="AD129" t="n">
        <v>5</v>
      </c>
      <c r="AE129" t="n">
        <v>5</v>
      </c>
      <c r="AF129" t="n">
        <v>31</v>
      </c>
      <c r="AG129" t="n">
        <v>32</v>
      </c>
      <c r="AH129" t="n">
        <v>13</v>
      </c>
      <c r="AI129" t="n">
        <v>13</v>
      </c>
      <c r="AJ129" t="n">
        <v>9</v>
      </c>
      <c r="AK129" t="n">
        <v>9</v>
      </c>
      <c r="AL129" t="n">
        <v>16</v>
      </c>
      <c r="AM129" t="n">
        <v>17</v>
      </c>
      <c r="AN129" t="n">
        <v>3</v>
      </c>
      <c r="AO129" t="n">
        <v>3</v>
      </c>
      <c r="AP129" t="n">
        <v>0</v>
      </c>
      <c r="AQ129" t="n">
        <v>0</v>
      </c>
      <c r="AR129" t="inlineStr">
        <is>
          <t>No</t>
        </is>
      </c>
      <c r="AS129" t="inlineStr">
        <is>
          <t>Yes</t>
        </is>
      </c>
      <c r="AT129">
        <f>HYPERLINK("http://catalog.hathitrust.org/Record/001207135","HathiTrust Record")</f>
        <v/>
      </c>
      <c r="AU129">
        <f>HYPERLINK("https://creighton-primo.hosted.exlibrisgroup.com/primo-explore/search?tab=default_tab&amp;search_scope=EVERYTHING&amp;vid=01CRU&amp;lang=en_US&amp;offset=0&amp;query=any,contains,991001296299702656","Catalog Record")</f>
        <v/>
      </c>
      <c r="AV129">
        <f>HYPERLINK("http://www.worldcat.org/oclc/219746","WorldCat Record")</f>
        <v/>
      </c>
      <c r="AW129" t="inlineStr">
        <is>
          <t>3902721056:eng</t>
        </is>
      </c>
      <c r="AX129" t="inlineStr">
        <is>
          <t>219746</t>
        </is>
      </c>
      <c r="AY129" t="inlineStr">
        <is>
          <t>991001296299702656</t>
        </is>
      </c>
      <c r="AZ129" t="inlineStr">
        <is>
          <t>991001296299702656</t>
        </is>
      </c>
      <c r="BA129" t="inlineStr">
        <is>
          <t>2258122000002656</t>
        </is>
      </c>
      <c r="BB129" t="inlineStr">
        <is>
          <t>BOOK</t>
        </is>
      </c>
      <c r="BE129" t="inlineStr">
        <is>
          <t>32285003171294</t>
        </is>
      </c>
      <c r="BF129" t="inlineStr">
        <is>
          <t>893231890</t>
        </is>
      </c>
    </row>
    <row r="130">
      <c r="A130" t="inlineStr">
        <is>
          <t>No</t>
        </is>
      </c>
      <c r="B130" t="inlineStr">
        <is>
          <t>CURAL</t>
        </is>
      </c>
      <c r="C130" t="inlineStr">
        <is>
          <t>SHELVES</t>
        </is>
      </c>
      <c r="D130" t="inlineStr">
        <is>
          <t>PQ2247 .W35 2002</t>
        </is>
      </c>
      <c r="E130" t="inlineStr">
        <is>
          <t>0                      PQ 2247000W  35          2002</t>
        </is>
      </c>
      <c r="F130" t="inlineStr">
        <is>
          <t>Flaubert, a life / Geoffrey Wall.</t>
        </is>
      </c>
      <c r="H130" t="inlineStr">
        <is>
          <t>No</t>
        </is>
      </c>
      <c r="I130" t="inlineStr">
        <is>
          <t>1</t>
        </is>
      </c>
      <c r="J130" t="inlineStr">
        <is>
          <t>No</t>
        </is>
      </c>
      <c r="K130" t="inlineStr">
        <is>
          <t>No</t>
        </is>
      </c>
      <c r="L130" t="inlineStr">
        <is>
          <t>0</t>
        </is>
      </c>
      <c r="M130" t="inlineStr">
        <is>
          <t>Wall, Geoffrey, 1950-</t>
        </is>
      </c>
      <c r="N130" t="inlineStr">
        <is>
          <t>New York : Farrar, Straus, and Giroux, 2002.</t>
        </is>
      </c>
      <c r="O130" t="inlineStr">
        <is>
          <t>2002</t>
        </is>
      </c>
      <c r="P130" t="inlineStr">
        <is>
          <t>1st American ed.</t>
        </is>
      </c>
      <c r="Q130" t="inlineStr">
        <is>
          <t>eng</t>
        </is>
      </c>
      <c r="R130" t="inlineStr">
        <is>
          <t>nyu</t>
        </is>
      </c>
      <c r="T130" t="inlineStr">
        <is>
          <t xml:space="preserve">PQ </t>
        </is>
      </c>
      <c r="U130" t="n">
        <v>3</v>
      </c>
      <c r="V130" t="n">
        <v>3</v>
      </c>
      <c r="W130" t="inlineStr">
        <is>
          <t>2005-07-01</t>
        </is>
      </c>
      <c r="X130" t="inlineStr">
        <is>
          <t>2005-07-01</t>
        </is>
      </c>
      <c r="Y130" t="inlineStr">
        <is>
          <t>2002-06-04</t>
        </is>
      </c>
      <c r="Z130" t="inlineStr">
        <is>
          <t>2002-06-04</t>
        </is>
      </c>
      <c r="AA130" t="n">
        <v>887</v>
      </c>
      <c r="AB130" t="n">
        <v>844</v>
      </c>
      <c r="AC130" t="n">
        <v>921</v>
      </c>
      <c r="AD130" t="n">
        <v>8</v>
      </c>
      <c r="AE130" t="n">
        <v>9</v>
      </c>
      <c r="AF130" t="n">
        <v>37</v>
      </c>
      <c r="AG130" t="n">
        <v>40</v>
      </c>
      <c r="AH130" t="n">
        <v>19</v>
      </c>
      <c r="AI130" t="n">
        <v>20</v>
      </c>
      <c r="AJ130" t="n">
        <v>6</v>
      </c>
      <c r="AK130" t="n">
        <v>8</v>
      </c>
      <c r="AL130" t="n">
        <v>17</v>
      </c>
      <c r="AM130" t="n">
        <v>18</v>
      </c>
      <c r="AN130" t="n">
        <v>4</v>
      </c>
      <c r="AO130" t="n">
        <v>5</v>
      </c>
      <c r="AP130" t="n">
        <v>0</v>
      </c>
      <c r="AQ130" t="n">
        <v>0</v>
      </c>
      <c r="AR130" t="inlineStr">
        <is>
          <t>No</t>
        </is>
      </c>
      <c r="AS130" t="inlineStr">
        <is>
          <t>No</t>
        </is>
      </c>
      <c r="AU130">
        <f>HYPERLINK("https://creighton-primo.hosted.exlibrisgroup.com/primo-explore/search?tab=default_tab&amp;search_scope=EVERYTHING&amp;vid=01CRU&amp;lang=en_US&amp;offset=0&amp;query=any,contains,991003799989702656","Catalog Record")</f>
        <v/>
      </c>
      <c r="AV130">
        <f>HYPERLINK("http://www.worldcat.org/oclc/48871166","WorldCat Record")</f>
        <v/>
      </c>
      <c r="AW130" t="inlineStr">
        <is>
          <t>1909238055:eng</t>
        </is>
      </c>
      <c r="AX130" t="inlineStr">
        <is>
          <t>48871166</t>
        </is>
      </c>
      <c r="AY130" t="inlineStr">
        <is>
          <t>991003799989702656</t>
        </is>
      </c>
      <c r="AZ130" t="inlineStr">
        <is>
          <t>991003799989702656</t>
        </is>
      </c>
      <c r="BA130" t="inlineStr">
        <is>
          <t>2255743160002656</t>
        </is>
      </c>
      <c r="BB130" t="inlineStr">
        <is>
          <t>BOOK</t>
        </is>
      </c>
      <c r="BD130" t="inlineStr">
        <is>
          <t>9780374156275</t>
        </is>
      </c>
      <c r="BE130" t="inlineStr">
        <is>
          <t>32285004490974</t>
        </is>
      </c>
      <c r="BF130" t="inlineStr">
        <is>
          <t>893598990</t>
        </is>
      </c>
    </row>
    <row r="131">
      <c r="A131" t="inlineStr">
        <is>
          <t>No</t>
        </is>
      </c>
      <c r="B131" t="inlineStr">
        <is>
          <t>CURAL</t>
        </is>
      </c>
      <c r="C131" t="inlineStr">
        <is>
          <t>SHELVES</t>
        </is>
      </c>
      <c r="D131" t="inlineStr">
        <is>
          <t>PQ2247.S33 B3 1981</t>
        </is>
      </c>
      <c r="E131" t="inlineStr">
        <is>
          <t>0                      PQ 2247000S  33                 B  3           1981</t>
        </is>
      </c>
      <c r="F131" t="inlineStr">
        <is>
          <t>Sartre &amp; Flaubert / Hazel E. Barnes.</t>
        </is>
      </c>
      <c r="H131" t="inlineStr">
        <is>
          <t>No</t>
        </is>
      </c>
      <c r="I131" t="inlineStr">
        <is>
          <t>1</t>
        </is>
      </c>
      <c r="J131" t="inlineStr">
        <is>
          <t>No</t>
        </is>
      </c>
      <c r="K131" t="inlineStr">
        <is>
          <t>No</t>
        </is>
      </c>
      <c r="L131" t="inlineStr">
        <is>
          <t>0</t>
        </is>
      </c>
      <c r="M131" t="inlineStr">
        <is>
          <t>Barnes, Hazel Estella.</t>
        </is>
      </c>
      <c r="N131" t="inlineStr">
        <is>
          <t>Chicago : University of Chicago Press, 1981.</t>
        </is>
      </c>
      <c r="O131" t="inlineStr">
        <is>
          <t>1981</t>
        </is>
      </c>
      <c r="Q131" t="inlineStr">
        <is>
          <t>eng</t>
        </is>
      </c>
      <c r="R131" t="inlineStr">
        <is>
          <t>ilu</t>
        </is>
      </c>
      <c r="T131" t="inlineStr">
        <is>
          <t xml:space="preserve">PQ </t>
        </is>
      </c>
      <c r="U131" t="n">
        <v>11</v>
      </c>
      <c r="V131" t="n">
        <v>11</v>
      </c>
      <c r="W131" t="inlineStr">
        <is>
          <t>1997-11-15</t>
        </is>
      </c>
      <c r="X131" t="inlineStr">
        <is>
          <t>1997-11-15</t>
        </is>
      </c>
      <c r="Y131" t="inlineStr">
        <is>
          <t>1991-05-09</t>
        </is>
      </c>
      <c r="Z131" t="inlineStr">
        <is>
          <t>1991-05-09</t>
        </is>
      </c>
      <c r="AA131" t="n">
        <v>677</v>
      </c>
      <c r="AB131" t="n">
        <v>521</v>
      </c>
      <c r="AC131" t="n">
        <v>537</v>
      </c>
      <c r="AD131" t="n">
        <v>4</v>
      </c>
      <c r="AE131" t="n">
        <v>4</v>
      </c>
      <c r="AF131" t="n">
        <v>27</v>
      </c>
      <c r="AG131" t="n">
        <v>29</v>
      </c>
      <c r="AH131" t="n">
        <v>10</v>
      </c>
      <c r="AI131" t="n">
        <v>10</v>
      </c>
      <c r="AJ131" t="n">
        <v>7</v>
      </c>
      <c r="AK131" t="n">
        <v>8</v>
      </c>
      <c r="AL131" t="n">
        <v>18</v>
      </c>
      <c r="AM131" t="n">
        <v>19</v>
      </c>
      <c r="AN131" t="n">
        <v>3</v>
      </c>
      <c r="AO131" t="n">
        <v>3</v>
      </c>
      <c r="AP131" t="n">
        <v>0</v>
      </c>
      <c r="AQ131" t="n">
        <v>0</v>
      </c>
      <c r="AR131" t="inlineStr">
        <is>
          <t>No</t>
        </is>
      </c>
      <c r="AS131" t="inlineStr">
        <is>
          <t>No</t>
        </is>
      </c>
      <c r="AU131">
        <f>HYPERLINK("https://creighton-primo.hosted.exlibrisgroup.com/primo-explore/search?tab=default_tab&amp;search_scope=EVERYTHING&amp;vid=01CRU&amp;lang=en_US&amp;offset=0&amp;query=any,contains,991005069819702656","Catalog Record")</f>
        <v/>
      </c>
      <c r="AV131">
        <f>HYPERLINK("http://www.worldcat.org/oclc/7006581","WorldCat Record")</f>
        <v/>
      </c>
      <c r="AW131" t="inlineStr">
        <is>
          <t>417862:eng</t>
        </is>
      </c>
      <c r="AX131" t="inlineStr">
        <is>
          <t>7006581</t>
        </is>
      </c>
      <c r="AY131" t="inlineStr">
        <is>
          <t>991005069819702656</t>
        </is>
      </c>
      <c r="AZ131" t="inlineStr">
        <is>
          <t>991005069819702656</t>
        </is>
      </c>
      <c r="BA131" t="inlineStr">
        <is>
          <t>2267915830002656</t>
        </is>
      </c>
      <c r="BB131" t="inlineStr">
        <is>
          <t>BOOK</t>
        </is>
      </c>
      <c r="BD131" t="inlineStr">
        <is>
          <t>9780226037202</t>
        </is>
      </c>
      <c r="BE131" t="inlineStr">
        <is>
          <t>32285000602713</t>
        </is>
      </c>
      <c r="BF131" t="inlineStr">
        <is>
          <t>893242150</t>
        </is>
      </c>
    </row>
    <row r="132">
      <c r="A132" t="inlineStr">
        <is>
          <t>No</t>
        </is>
      </c>
      <c r="B132" t="inlineStr">
        <is>
          <t>CURAL</t>
        </is>
      </c>
      <c r="C132" t="inlineStr">
        <is>
          <t>SHELVES</t>
        </is>
      </c>
      <c r="D132" t="inlineStr">
        <is>
          <t>PQ2249 .D48 1975</t>
        </is>
      </c>
      <c r="E132" t="inlineStr">
        <is>
          <t>0                      PQ 2249000D  48          1975</t>
        </is>
      </c>
      <c r="F132" t="inlineStr">
        <is>
          <t>Flaubert, the problem of aesthetic discontinuity / Marie J. Diamond.</t>
        </is>
      </c>
      <c r="H132" t="inlineStr">
        <is>
          <t>No</t>
        </is>
      </c>
      <c r="I132" t="inlineStr">
        <is>
          <t>1</t>
        </is>
      </c>
      <c r="J132" t="inlineStr">
        <is>
          <t>No</t>
        </is>
      </c>
      <c r="K132" t="inlineStr">
        <is>
          <t>No</t>
        </is>
      </c>
      <c r="L132" t="inlineStr">
        <is>
          <t>0</t>
        </is>
      </c>
      <c r="M132" t="inlineStr">
        <is>
          <t>Diamond, Marie J.</t>
        </is>
      </c>
      <c r="N132" t="inlineStr">
        <is>
          <t>Port Washington, N.Y. : Kennikat Press, 1975.</t>
        </is>
      </c>
      <c r="O132" t="inlineStr">
        <is>
          <t>1975</t>
        </is>
      </c>
      <c r="Q132" t="inlineStr">
        <is>
          <t>eng</t>
        </is>
      </c>
      <c r="R132" t="inlineStr">
        <is>
          <t>nyu</t>
        </is>
      </c>
      <c r="S132" t="inlineStr">
        <is>
          <t>National university publications. Literary criticism series</t>
        </is>
      </c>
      <c r="T132" t="inlineStr">
        <is>
          <t xml:space="preserve">PQ </t>
        </is>
      </c>
      <c r="U132" t="n">
        <v>8</v>
      </c>
      <c r="V132" t="n">
        <v>8</v>
      </c>
      <c r="W132" t="inlineStr">
        <is>
          <t>2002-02-18</t>
        </is>
      </c>
      <c r="X132" t="inlineStr">
        <is>
          <t>2002-02-18</t>
        </is>
      </c>
      <c r="Y132" t="inlineStr">
        <is>
          <t>1991-05-09</t>
        </is>
      </c>
      <c r="Z132" t="inlineStr">
        <is>
          <t>1991-05-09</t>
        </is>
      </c>
      <c r="AA132" t="n">
        <v>448</v>
      </c>
      <c r="AB132" t="n">
        <v>363</v>
      </c>
      <c r="AC132" t="n">
        <v>370</v>
      </c>
      <c r="AD132" t="n">
        <v>3</v>
      </c>
      <c r="AE132" t="n">
        <v>3</v>
      </c>
      <c r="AF132" t="n">
        <v>18</v>
      </c>
      <c r="AG132" t="n">
        <v>18</v>
      </c>
      <c r="AH132" t="n">
        <v>8</v>
      </c>
      <c r="AI132" t="n">
        <v>8</v>
      </c>
      <c r="AJ132" t="n">
        <v>6</v>
      </c>
      <c r="AK132" t="n">
        <v>6</v>
      </c>
      <c r="AL132" t="n">
        <v>6</v>
      </c>
      <c r="AM132" t="n">
        <v>6</v>
      </c>
      <c r="AN132" t="n">
        <v>2</v>
      </c>
      <c r="AO132" t="n">
        <v>2</v>
      </c>
      <c r="AP132" t="n">
        <v>0</v>
      </c>
      <c r="AQ132" t="n">
        <v>0</v>
      </c>
      <c r="AR132" t="inlineStr">
        <is>
          <t>No</t>
        </is>
      </c>
      <c r="AS132" t="inlineStr">
        <is>
          <t>Yes</t>
        </is>
      </c>
      <c r="AT132">
        <f>HYPERLINK("http://catalog.hathitrust.org/Record/000017715","HathiTrust Record")</f>
        <v/>
      </c>
      <c r="AU132">
        <f>HYPERLINK("https://creighton-primo.hosted.exlibrisgroup.com/primo-explore/search?tab=default_tab&amp;search_scope=EVERYTHING&amp;vid=01CRU&amp;lang=en_US&amp;offset=0&amp;query=any,contains,991003719609702656","Catalog Record")</f>
        <v/>
      </c>
      <c r="AV132">
        <f>HYPERLINK("http://www.worldcat.org/oclc/1365229","WorldCat Record")</f>
        <v/>
      </c>
      <c r="AW132" t="inlineStr">
        <is>
          <t>458856:eng</t>
        </is>
      </c>
      <c r="AX132" t="inlineStr">
        <is>
          <t>1365229</t>
        </is>
      </c>
      <c r="AY132" t="inlineStr">
        <is>
          <t>991003719609702656</t>
        </is>
      </c>
      <c r="AZ132" t="inlineStr">
        <is>
          <t>991003719609702656</t>
        </is>
      </c>
      <c r="BA132" t="inlineStr">
        <is>
          <t>2256109590002656</t>
        </is>
      </c>
      <c r="BB132" t="inlineStr">
        <is>
          <t>BOOK</t>
        </is>
      </c>
      <c r="BD132" t="inlineStr">
        <is>
          <t>9780804690751</t>
        </is>
      </c>
      <c r="BE132" t="inlineStr">
        <is>
          <t>32285000602721</t>
        </is>
      </c>
      <c r="BF132" t="inlineStr">
        <is>
          <t>893505911</t>
        </is>
      </c>
    </row>
    <row r="133">
      <c r="A133" t="inlineStr">
        <is>
          <t>No</t>
        </is>
      </c>
      <c r="B133" t="inlineStr">
        <is>
          <t>CURAL</t>
        </is>
      </c>
      <c r="C133" t="inlineStr">
        <is>
          <t>SHELVES</t>
        </is>
      </c>
      <c r="D133" t="inlineStr">
        <is>
          <t>PQ2258.Z5 G7</t>
        </is>
      </c>
      <c r="E133" t="inlineStr">
        <is>
          <t>0                      PQ 2258000Z  5                  G  7</t>
        </is>
      </c>
      <c r="F133" t="inlineStr">
        <is>
          <t>Théophile Gautier / by Richard B. Grant.</t>
        </is>
      </c>
      <c r="H133" t="inlineStr">
        <is>
          <t>No</t>
        </is>
      </c>
      <c r="I133" t="inlineStr">
        <is>
          <t>1</t>
        </is>
      </c>
      <c r="J133" t="inlineStr">
        <is>
          <t>No</t>
        </is>
      </c>
      <c r="K133" t="inlineStr">
        <is>
          <t>No</t>
        </is>
      </c>
      <c r="L133" t="inlineStr">
        <is>
          <t>0</t>
        </is>
      </c>
      <c r="M133" t="inlineStr">
        <is>
          <t>Grant, Richard B., 1925-</t>
        </is>
      </c>
      <c r="N133" t="inlineStr">
        <is>
          <t>Boston : Twayne Publishers, [1975]</t>
        </is>
      </c>
      <c r="O133" t="inlineStr">
        <is>
          <t>1975</t>
        </is>
      </c>
      <c r="Q133" t="inlineStr">
        <is>
          <t>eng</t>
        </is>
      </c>
      <c r="R133" t="inlineStr">
        <is>
          <t>mau</t>
        </is>
      </c>
      <c r="S133" t="inlineStr">
        <is>
          <t>Twayne's world authors series ; TWAS 362 : France</t>
        </is>
      </c>
      <c r="T133" t="inlineStr">
        <is>
          <t xml:space="preserve">PQ </t>
        </is>
      </c>
      <c r="U133" t="n">
        <v>1</v>
      </c>
      <c r="V133" t="n">
        <v>1</v>
      </c>
      <c r="W133" t="inlineStr">
        <is>
          <t>2004-02-19</t>
        </is>
      </c>
      <c r="X133" t="inlineStr">
        <is>
          <t>2004-02-19</t>
        </is>
      </c>
      <c r="Y133" t="inlineStr">
        <is>
          <t>1992-12-18</t>
        </is>
      </c>
      <c r="Z133" t="inlineStr">
        <is>
          <t>1992-12-18</t>
        </is>
      </c>
      <c r="AA133" t="n">
        <v>656</v>
      </c>
      <c r="AB133" t="n">
        <v>560</v>
      </c>
      <c r="AC133" t="n">
        <v>661</v>
      </c>
      <c r="AD133" t="n">
        <v>4</v>
      </c>
      <c r="AE133" t="n">
        <v>4</v>
      </c>
      <c r="AF133" t="n">
        <v>29</v>
      </c>
      <c r="AG133" t="n">
        <v>31</v>
      </c>
      <c r="AH133" t="n">
        <v>11</v>
      </c>
      <c r="AI133" t="n">
        <v>12</v>
      </c>
      <c r="AJ133" t="n">
        <v>8</v>
      </c>
      <c r="AK133" t="n">
        <v>8</v>
      </c>
      <c r="AL133" t="n">
        <v>16</v>
      </c>
      <c r="AM133" t="n">
        <v>17</v>
      </c>
      <c r="AN133" t="n">
        <v>3</v>
      </c>
      <c r="AO133" t="n">
        <v>3</v>
      </c>
      <c r="AP133" t="n">
        <v>0</v>
      </c>
      <c r="AQ133" t="n">
        <v>0</v>
      </c>
      <c r="AR133" t="inlineStr">
        <is>
          <t>No</t>
        </is>
      </c>
      <c r="AS133" t="inlineStr">
        <is>
          <t>Yes</t>
        </is>
      </c>
      <c r="AT133">
        <f>HYPERLINK("http://catalog.hathitrust.org/Record/000020596","HathiTrust Record")</f>
        <v/>
      </c>
      <c r="AU133">
        <f>HYPERLINK("https://creighton-primo.hosted.exlibrisgroup.com/primo-explore/search?tab=default_tab&amp;search_scope=EVERYTHING&amp;vid=01CRU&amp;lang=en_US&amp;offset=0&amp;query=any,contains,991003627959702656","Catalog Record")</f>
        <v/>
      </c>
      <c r="AV133">
        <f>HYPERLINK("http://www.worldcat.org/oclc/1218470","WorldCat Record")</f>
        <v/>
      </c>
      <c r="AW133" t="inlineStr">
        <is>
          <t>3901098666:eng</t>
        </is>
      </c>
      <c r="AX133" t="inlineStr">
        <is>
          <t>1218470</t>
        </is>
      </c>
      <c r="AY133" t="inlineStr">
        <is>
          <t>991003627959702656</t>
        </is>
      </c>
      <c r="AZ133" t="inlineStr">
        <is>
          <t>991003627959702656</t>
        </is>
      </c>
      <c r="BA133" t="inlineStr">
        <is>
          <t>2271788530002656</t>
        </is>
      </c>
      <c r="BB133" t="inlineStr">
        <is>
          <t>BOOK</t>
        </is>
      </c>
      <c r="BD133" t="inlineStr">
        <is>
          <t>9780805762136</t>
        </is>
      </c>
      <c r="BE133" t="inlineStr">
        <is>
          <t>32285001444024</t>
        </is>
      </c>
      <c r="BF133" t="inlineStr">
        <is>
          <t>893246556</t>
        </is>
      </c>
    </row>
    <row r="134">
      <c r="A134" t="inlineStr">
        <is>
          <t>No</t>
        </is>
      </c>
      <c r="B134" t="inlineStr">
        <is>
          <t>CURAL</t>
        </is>
      </c>
      <c r="C134" t="inlineStr">
        <is>
          <t>SHELVES</t>
        </is>
      </c>
      <c r="D134" t="inlineStr">
        <is>
          <t>PQ226 .M6</t>
        </is>
      </c>
      <c r="E134" t="inlineStr">
        <is>
          <t>0                      PQ 0226000M  6</t>
        </is>
      </c>
      <c r="F134" t="inlineStr">
        <is>
          <t>French achievement in literature / [by] Will G. Moore.</t>
        </is>
      </c>
      <c r="H134" t="inlineStr">
        <is>
          <t>No</t>
        </is>
      </c>
      <c r="I134" t="inlineStr">
        <is>
          <t>1</t>
        </is>
      </c>
      <c r="J134" t="inlineStr">
        <is>
          <t>No</t>
        </is>
      </c>
      <c r="K134" t="inlineStr">
        <is>
          <t>No</t>
        </is>
      </c>
      <c r="L134" t="inlineStr">
        <is>
          <t>0</t>
        </is>
      </c>
      <c r="M134" t="inlineStr">
        <is>
          <t>Moore, W. G. (Will Grayburn), 1905-1978.</t>
        </is>
      </c>
      <c r="N134" t="inlineStr">
        <is>
          <t>London : Bell, 1969.</t>
        </is>
      </c>
      <c r="O134" t="inlineStr">
        <is>
          <t>1969</t>
        </is>
      </c>
      <c r="Q134" t="inlineStr">
        <is>
          <t>eng</t>
        </is>
      </c>
      <c r="R134" t="inlineStr">
        <is>
          <t>enk</t>
        </is>
      </c>
      <c r="T134" t="inlineStr">
        <is>
          <t xml:space="preserve">PQ </t>
        </is>
      </c>
      <c r="U134" t="n">
        <v>6</v>
      </c>
      <c r="V134" t="n">
        <v>6</v>
      </c>
      <c r="W134" t="inlineStr">
        <is>
          <t>2000-02-16</t>
        </is>
      </c>
      <c r="X134" t="inlineStr">
        <is>
          <t>2000-02-16</t>
        </is>
      </c>
      <c r="Y134" t="inlineStr">
        <is>
          <t>1992-08-03</t>
        </is>
      </c>
      <c r="Z134" t="inlineStr">
        <is>
          <t>1992-08-03</t>
        </is>
      </c>
      <c r="AA134" t="n">
        <v>228</v>
      </c>
      <c r="AB134" t="n">
        <v>134</v>
      </c>
      <c r="AC134" t="n">
        <v>398</v>
      </c>
      <c r="AD134" t="n">
        <v>2</v>
      </c>
      <c r="AE134" t="n">
        <v>5</v>
      </c>
      <c r="AF134" t="n">
        <v>6</v>
      </c>
      <c r="AG134" t="n">
        <v>17</v>
      </c>
      <c r="AH134" t="n">
        <v>1</v>
      </c>
      <c r="AI134" t="n">
        <v>4</v>
      </c>
      <c r="AJ134" t="n">
        <v>1</v>
      </c>
      <c r="AK134" t="n">
        <v>3</v>
      </c>
      <c r="AL134" t="n">
        <v>4</v>
      </c>
      <c r="AM134" t="n">
        <v>10</v>
      </c>
      <c r="AN134" t="n">
        <v>1</v>
      </c>
      <c r="AO134" t="n">
        <v>4</v>
      </c>
      <c r="AP134" t="n">
        <v>0</v>
      </c>
      <c r="AQ134" t="n">
        <v>0</v>
      </c>
      <c r="AR134" t="inlineStr">
        <is>
          <t>No</t>
        </is>
      </c>
      <c r="AS134" t="inlineStr">
        <is>
          <t>Yes</t>
        </is>
      </c>
      <c r="AT134">
        <f>HYPERLINK("http://catalog.hathitrust.org/Record/001202244","HathiTrust Record")</f>
        <v/>
      </c>
      <c r="AU134">
        <f>HYPERLINK("https://creighton-primo.hosted.exlibrisgroup.com/primo-explore/search?tab=default_tab&amp;search_scope=EVERYTHING&amp;vid=01CRU&amp;lang=en_US&amp;offset=0&amp;query=any,contains,991000062049702656","Catalog Record")</f>
        <v/>
      </c>
      <c r="AV134">
        <f>HYPERLINK("http://www.worldcat.org/oclc/25067","WorldCat Record")</f>
        <v/>
      </c>
      <c r="AW134" t="inlineStr">
        <is>
          <t>1130330:eng</t>
        </is>
      </c>
      <c r="AX134" t="inlineStr">
        <is>
          <t>25067</t>
        </is>
      </c>
      <c r="AY134" t="inlineStr">
        <is>
          <t>991000062049702656</t>
        </is>
      </c>
      <c r="AZ134" t="inlineStr">
        <is>
          <t>991000062049702656</t>
        </is>
      </c>
      <c r="BA134" t="inlineStr">
        <is>
          <t>2268543190002656</t>
        </is>
      </c>
      <c r="BB134" t="inlineStr">
        <is>
          <t>BOOK</t>
        </is>
      </c>
      <c r="BD134" t="inlineStr">
        <is>
          <t>9780713515084</t>
        </is>
      </c>
      <c r="BE134" t="inlineStr">
        <is>
          <t>32285001250850</t>
        </is>
      </c>
      <c r="BF134" t="inlineStr">
        <is>
          <t>893431639</t>
        </is>
      </c>
    </row>
    <row r="135">
      <c r="A135" t="inlineStr">
        <is>
          <t>No</t>
        </is>
      </c>
      <c r="B135" t="inlineStr">
        <is>
          <t>CURAL</t>
        </is>
      </c>
      <c r="C135" t="inlineStr">
        <is>
          <t>SHELVES</t>
        </is>
      </c>
      <c r="D135" t="inlineStr">
        <is>
          <t>PQ2260.G36 Z6</t>
        </is>
      </c>
      <c r="E135" t="inlineStr">
        <is>
          <t>0                      PQ 2260000G  36                 Z  6</t>
        </is>
      </c>
      <c r="F135" t="inlineStr">
        <is>
          <t>Gérard de Nerval inconnu / par Edouard Peyrouzet. --</t>
        </is>
      </c>
      <c r="H135" t="inlineStr">
        <is>
          <t>No</t>
        </is>
      </c>
      <c r="I135" t="inlineStr">
        <is>
          <t>1</t>
        </is>
      </c>
      <c r="J135" t="inlineStr">
        <is>
          <t>No</t>
        </is>
      </c>
      <c r="K135" t="inlineStr">
        <is>
          <t>No</t>
        </is>
      </c>
      <c r="L135" t="inlineStr">
        <is>
          <t>0</t>
        </is>
      </c>
      <c r="M135" t="inlineStr">
        <is>
          <t>Peyrouzet, Édouard.</t>
        </is>
      </c>
      <c r="N135" t="inlineStr">
        <is>
          <t>[Paris] J. Corti, 1965.</t>
        </is>
      </c>
      <c r="O135" t="inlineStr">
        <is>
          <t>1965</t>
        </is>
      </c>
      <c r="Q135" t="inlineStr">
        <is>
          <t>fre</t>
        </is>
      </c>
      <c r="R135" t="inlineStr">
        <is>
          <t>___</t>
        </is>
      </c>
      <c r="T135" t="inlineStr">
        <is>
          <t xml:space="preserve">PQ </t>
        </is>
      </c>
      <c r="U135" t="n">
        <v>1</v>
      </c>
      <c r="V135" t="n">
        <v>1</v>
      </c>
      <c r="W135" t="inlineStr">
        <is>
          <t>1992-11-13</t>
        </is>
      </c>
      <c r="X135" t="inlineStr">
        <is>
          <t>1992-11-13</t>
        </is>
      </c>
      <c r="Y135" t="inlineStr">
        <is>
          <t>1991-05-09</t>
        </is>
      </c>
      <c r="Z135" t="inlineStr">
        <is>
          <t>1991-05-09</t>
        </is>
      </c>
      <c r="AA135" t="n">
        <v>223</v>
      </c>
      <c r="AB135" t="n">
        <v>147</v>
      </c>
      <c r="AC135" t="n">
        <v>155</v>
      </c>
      <c r="AD135" t="n">
        <v>3</v>
      </c>
      <c r="AE135" t="n">
        <v>3</v>
      </c>
      <c r="AF135" t="n">
        <v>11</v>
      </c>
      <c r="AG135" t="n">
        <v>11</v>
      </c>
      <c r="AH135" t="n">
        <v>3</v>
      </c>
      <c r="AI135" t="n">
        <v>3</v>
      </c>
      <c r="AJ135" t="n">
        <v>3</v>
      </c>
      <c r="AK135" t="n">
        <v>3</v>
      </c>
      <c r="AL135" t="n">
        <v>6</v>
      </c>
      <c r="AM135" t="n">
        <v>6</v>
      </c>
      <c r="AN135" t="n">
        <v>2</v>
      </c>
      <c r="AO135" t="n">
        <v>2</v>
      </c>
      <c r="AP135" t="n">
        <v>0</v>
      </c>
      <c r="AQ135" t="n">
        <v>0</v>
      </c>
      <c r="AR135" t="inlineStr">
        <is>
          <t>No</t>
        </is>
      </c>
      <c r="AS135" t="inlineStr">
        <is>
          <t>Yes</t>
        </is>
      </c>
      <c r="AT135">
        <f>HYPERLINK("http://catalog.hathitrust.org/Record/001796079","HathiTrust Record")</f>
        <v/>
      </c>
      <c r="AU135">
        <f>HYPERLINK("https://creighton-primo.hosted.exlibrisgroup.com/primo-explore/search?tab=default_tab&amp;search_scope=EVERYTHING&amp;vid=01CRU&amp;lang=en_US&amp;offset=0&amp;query=any,contains,991002350899702656","Catalog Record")</f>
        <v/>
      </c>
      <c r="AV135">
        <f>HYPERLINK("http://www.worldcat.org/oclc/17518792","WorldCat Record")</f>
        <v/>
      </c>
      <c r="AW135" t="inlineStr">
        <is>
          <t>146270027:fre</t>
        </is>
      </c>
      <c r="AX135" t="inlineStr">
        <is>
          <t>17518792</t>
        </is>
      </c>
      <c r="AY135" t="inlineStr">
        <is>
          <t>991002350899702656</t>
        </is>
      </c>
      <c r="AZ135" t="inlineStr">
        <is>
          <t>991002350899702656</t>
        </is>
      </c>
      <c r="BA135" t="inlineStr">
        <is>
          <t>2271709570002656</t>
        </is>
      </c>
      <c r="BB135" t="inlineStr">
        <is>
          <t>BOOK</t>
        </is>
      </c>
      <c r="BE135" t="inlineStr">
        <is>
          <t>32285000602762</t>
        </is>
      </c>
      <c r="BF135" t="inlineStr">
        <is>
          <t>893886154</t>
        </is>
      </c>
    </row>
    <row r="136">
      <c r="A136" t="inlineStr">
        <is>
          <t>No</t>
        </is>
      </c>
      <c r="B136" t="inlineStr">
        <is>
          <t>CURAL</t>
        </is>
      </c>
      <c r="C136" t="inlineStr">
        <is>
          <t>SHELVES</t>
        </is>
      </c>
      <c r="D136" t="inlineStr">
        <is>
          <t>PQ2260.G36 Z85 1974</t>
        </is>
      </c>
      <c r="E136" t="inlineStr">
        <is>
          <t>0                      PQ 2260000G  36                 Z  85          1974</t>
        </is>
      </c>
      <c r="F136" t="inlineStr">
        <is>
          <t>The disinherited : the life of Gérard de Nerval, 1808-1855 / Benn Sowerby. --</t>
        </is>
      </c>
      <c r="H136" t="inlineStr">
        <is>
          <t>No</t>
        </is>
      </c>
      <c r="I136" t="inlineStr">
        <is>
          <t>1</t>
        </is>
      </c>
      <c r="J136" t="inlineStr">
        <is>
          <t>No</t>
        </is>
      </c>
      <c r="K136" t="inlineStr">
        <is>
          <t>No</t>
        </is>
      </c>
      <c r="L136" t="inlineStr">
        <is>
          <t>0</t>
        </is>
      </c>
      <c r="M136" t="inlineStr">
        <is>
          <t>Sowerby, Benn.</t>
        </is>
      </c>
      <c r="N136" t="inlineStr">
        <is>
          <t>New York : New York University Press, 1974.</t>
        </is>
      </c>
      <c r="O136" t="inlineStr">
        <is>
          <t>1974</t>
        </is>
      </c>
      <c r="Q136" t="inlineStr">
        <is>
          <t>eng</t>
        </is>
      </c>
      <c r="R136" t="inlineStr">
        <is>
          <t>nyu</t>
        </is>
      </c>
      <c r="T136" t="inlineStr">
        <is>
          <t xml:space="preserve">PQ </t>
        </is>
      </c>
      <c r="U136" t="n">
        <v>1</v>
      </c>
      <c r="V136" t="n">
        <v>1</v>
      </c>
      <c r="W136" t="inlineStr">
        <is>
          <t>1992-11-13</t>
        </is>
      </c>
      <c r="X136" t="inlineStr">
        <is>
          <t>1992-11-13</t>
        </is>
      </c>
      <c r="Y136" t="inlineStr">
        <is>
          <t>1991-05-09</t>
        </is>
      </c>
      <c r="Z136" t="inlineStr">
        <is>
          <t>1991-05-09</t>
        </is>
      </c>
      <c r="AA136" t="n">
        <v>192</v>
      </c>
      <c r="AB136" t="n">
        <v>174</v>
      </c>
      <c r="AC136" t="n">
        <v>314</v>
      </c>
      <c r="AD136" t="n">
        <v>1</v>
      </c>
      <c r="AE136" t="n">
        <v>3</v>
      </c>
      <c r="AF136" t="n">
        <v>9</v>
      </c>
      <c r="AG136" t="n">
        <v>17</v>
      </c>
      <c r="AH136" t="n">
        <v>3</v>
      </c>
      <c r="AI136" t="n">
        <v>3</v>
      </c>
      <c r="AJ136" t="n">
        <v>4</v>
      </c>
      <c r="AK136" t="n">
        <v>7</v>
      </c>
      <c r="AL136" t="n">
        <v>5</v>
      </c>
      <c r="AM136" t="n">
        <v>8</v>
      </c>
      <c r="AN136" t="n">
        <v>0</v>
      </c>
      <c r="AO136" t="n">
        <v>2</v>
      </c>
      <c r="AP136" t="n">
        <v>0</v>
      </c>
      <c r="AQ136" t="n">
        <v>0</v>
      </c>
      <c r="AR136" t="inlineStr">
        <is>
          <t>No</t>
        </is>
      </c>
      <c r="AS136" t="inlineStr">
        <is>
          <t>No</t>
        </is>
      </c>
      <c r="AU136">
        <f>HYPERLINK("https://creighton-primo.hosted.exlibrisgroup.com/primo-explore/search?tab=default_tab&amp;search_scope=EVERYTHING&amp;vid=01CRU&amp;lang=en_US&amp;offset=0&amp;query=any,contains,991003589949702656","Catalog Record")</f>
        <v/>
      </c>
      <c r="AV136">
        <f>HYPERLINK("http://www.worldcat.org/oclc/1172225","WorldCat Record")</f>
        <v/>
      </c>
      <c r="AW136" t="inlineStr">
        <is>
          <t>488395106:eng</t>
        </is>
      </c>
      <c r="AX136" t="inlineStr">
        <is>
          <t>1172225</t>
        </is>
      </c>
      <c r="AY136" t="inlineStr">
        <is>
          <t>991003589949702656</t>
        </is>
      </c>
      <c r="AZ136" t="inlineStr">
        <is>
          <t>991003589949702656</t>
        </is>
      </c>
      <c r="BA136" t="inlineStr">
        <is>
          <t>2267035110002656</t>
        </is>
      </c>
      <c r="BB136" t="inlineStr">
        <is>
          <t>BOOK</t>
        </is>
      </c>
      <c r="BE136" t="inlineStr">
        <is>
          <t>32285000602770</t>
        </is>
      </c>
      <c r="BF136" t="inlineStr">
        <is>
          <t>893348871</t>
        </is>
      </c>
    </row>
    <row r="137">
      <c r="A137" t="inlineStr">
        <is>
          <t>No</t>
        </is>
      </c>
      <c r="B137" t="inlineStr">
        <is>
          <t>CURAL</t>
        </is>
      </c>
      <c r="C137" t="inlineStr">
        <is>
          <t>SHELVES</t>
        </is>
      </c>
      <c r="D137" t="inlineStr">
        <is>
          <t>PQ2285.F53 Z8 1973</t>
        </is>
      </c>
      <c r="E137" t="inlineStr">
        <is>
          <t>0                      PQ 2285000F  53                 Z  8           1973</t>
        </is>
      </c>
      <c r="F137" t="inlineStr">
        <is>
          <t>Victor Hugo, poète de Satan.</t>
        </is>
      </c>
      <c r="H137" t="inlineStr">
        <is>
          <t>No</t>
        </is>
      </c>
      <c r="I137" t="inlineStr">
        <is>
          <t>1</t>
        </is>
      </c>
      <c r="J137" t="inlineStr">
        <is>
          <t>No</t>
        </is>
      </c>
      <c r="K137" t="inlineStr">
        <is>
          <t>No</t>
        </is>
      </c>
      <c r="L137" t="inlineStr">
        <is>
          <t>0</t>
        </is>
      </c>
      <c r="M137" t="inlineStr">
        <is>
          <t>Zumthor, Paul, 1915-1995.</t>
        </is>
      </c>
      <c r="N137" t="inlineStr">
        <is>
          <t>Genève, Slatkine Reprints, 1973.</t>
        </is>
      </c>
      <c r="O137" t="inlineStr">
        <is>
          <t>1973</t>
        </is>
      </c>
      <c r="Q137" t="inlineStr">
        <is>
          <t>fre</t>
        </is>
      </c>
      <c r="R137" t="inlineStr">
        <is>
          <t xml:space="preserve">xx </t>
        </is>
      </c>
      <c r="T137" t="inlineStr">
        <is>
          <t xml:space="preserve">PQ </t>
        </is>
      </c>
      <c r="U137" t="n">
        <v>2</v>
      </c>
      <c r="V137" t="n">
        <v>2</v>
      </c>
      <c r="W137" t="inlineStr">
        <is>
          <t>2001-01-23</t>
        </is>
      </c>
      <c r="X137" t="inlineStr">
        <is>
          <t>2001-01-23</t>
        </is>
      </c>
      <c r="Y137" t="inlineStr">
        <is>
          <t>1997-05-16</t>
        </is>
      </c>
      <c r="Z137" t="inlineStr">
        <is>
          <t>1997-05-16</t>
        </is>
      </c>
      <c r="AA137" t="n">
        <v>57</v>
      </c>
      <c r="AB137" t="n">
        <v>42</v>
      </c>
      <c r="AC137" t="n">
        <v>133</v>
      </c>
      <c r="AD137" t="n">
        <v>1</v>
      </c>
      <c r="AE137" t="n">
        <v>2</v>
      </c>
      <c r="AF137" t="n">
        <v>0</v>
      </c>
      <c r="AG137" t="n">
        <v>6</v>
      </c>
      <c r="AH137" t="n">
        <v>0</v>
      </c>
      <c r="AI137" t="n">
        <v>1</v>
      </c>
      <c r="AJ137" t="n">
        <v>0</v>
      </c>
      <c r="AK137" t="n">
        <v>1</v>
      </c>
      <c r="AL137" t="n">
        <v>0</v>
      </c>
      <c r="AM137" t="n">
        <v>3</v>
      </c>
      <c r="AN137" t="n">
        <v>0</v>
      </c>
      <c r="AO137" t="n">
        <v>1</v>
      </c>
      <c r="AP137" t="n">
        <v>0</v>
      </c>
      <c r="AQ137" t="n">
        <v>0</v>
      </c>
      <c r="AR137" t="inlineStr">
        <is>
          <t>No</t>
        </is>
      </c>
      <c r="AS137" t="inlineStr">
        <is>
          <t>Yes</t>
        </is>
      </c>
      <c r="AT137">
        <f>HYPERLINK("http://catalog.hathitrust.org/Record/006708305","HathiTrust Record")</f>
        <v/>
      </c>
      <c r="AU137">
        <f>HYPERLINK("https://creighton-primo.hosted.exlibrisgroup.com/primo-explore/search?tab=default_tab&amp;search_scope=EVERYTHING&amp;vid=01CRU&amp;lang=en_US&amp;offset=0&amp;query=any,contains,991003217189702656","Catalog Record")</f>
        <v/>
      </c>
      <c r="AV137">
        <f>HYPERLINK("http://www.worldcat.org/oclc/743286","WorldCat Record")</f>
        <v/>
      </c>
      <c r="AW137" t="inlineStr">
        <is>
          <t>197426643:fre</t>
        </is>
      </c>
      <c r="AX137" t="inlineStr">
        <is>
          <t>743286</t>
        </is>
      </c>
      <c r="AY137" t="inlineStr">
        <is>
          <t>991003217189702656</t>
        </is>
      </c>
      <c r="AZ137" t="inlineStr">
        <is>
          <t>991003217189702656</t>
        </is>
      </c>
      <c r="BA137" t="inlineStr">
        <is>
          <t>2267348540002656</t>
        </is>
      </c>
      <c r="BB137" t="inlineStr">
        <is>
          <t>BOOK</t>
        </is>
      </c>
      <c r="BE137" t="inlineStr">
        <is>
          <t>32285002725116</t>
        </is>
      </c>
      <c r="BF137" t="inlineStr">
        <is>
          <t>893686312</t>
        </is>
      </c>
    </row>
    <row r="138">
      <c r="A138" t="inlineStr">
        <is>
          <t>No</t>
        </is>
      </c>
      <c r="B138" t="inlineStr">
        <is>
          <t>CURAL</t>
        </is>
      </c>
      <c r="C138" t="inlineStr">
        <is>
          <t>SHELVES</t>
        </is>
      </c>
      <c r="D138" t="inlineStr">
        <is>
          <t>PQ2293 .M353 1956a</t>
        </is>
      </c>
      <c r="E138" t="inlineStr">
        <is>
          <t>0                      PQ 2293000M  353         1956a</t>
        </is>
      </c>
      <c r="F138" t="inlineStr">
        <is>
          <t>Olympio; the life of Victor Hugo; translated from the French by Gerard Hopkins.</t>
        </is>
      </c>
      <c r="H138" t="inlineStr">
        <is>
          <t>No</t>
        </is>
      </c>
      <c r="I138" t="inlineStr">
        <is>
          <t>1</t>
        </is>
      </c>
      <c r="J138" t="inlineStr">
        <is>
          <t>No</t>
        </is>
      </c>
      <c r="K138" t="inlineStr">
        <is>
          <t>No</t>
        </is>
      </c>
      <c r="L138" t="inlineStr">
        <is>
          <t>0</t>
        </is>
      </c>
      <c r="M138" t="inlineStr">
        <is>
          <t>Maurois, André, 1885-1967.</t>
        </is>
      </c>
      <c r="N138" t="inlineStr">
        <is>
          <t>New York, Harper [1956]</t>
        </is>
      </c>
      <c r="O138" t="inlineStr">
        <is>
          <t>1956</t>
        </is>
      </c>
      <c r="P138" t="inlineStr">
        <is>
          <t>[1st American ed.]</t>
        </is>
      </c>
      <c r="Q138" t="inlineStr">
        <is>
          <t>eng</t>
        </is>
      </c>
      <c r="R138" t="inlineStr">
        <is>
          <t>nyu</t>
        </is>
      </c>
      <c r="T138" t="inlineStr">
        <is>
          <t xml:space="preserve">PQ </t>
        </is>
      </c>
      <c r="U138" t="n">
        <v>2</v>
      </c>
      <c r="V138" t="n">
        <v>2</v>
      </c>
      <c r="W138" t="inlineStr">
        <is>
          <t>2005-04-20</t>
        </is>
      </c>
      <c r="X138" t="inlineStr">
        <is>
          <t>2005-04-20</t>
        </is>
      </c>
      <c r="Y138" t="inlineStr">
        <is>
          <t>1997-05-16</t>
        </is>
      </c>
      <c r="Z138" t="inlineStr">
        <is>
          <t>1997-05-16</t>
        </is>
      </c>
      <c r="AA138" t="n">
        <v>1304</v>
      </c>
      <c r="AB138" t="n">
        <v>1254</v>
      </c>
      <c r="AC138" t="n">
        <v>1331</v>
      </c>
      <c r="AD138" t="n">
        <v>14</v>
      </c>
      <c r="AE138" t="n">
        <v>14</v>
      </c>
      <c r="AF138" t="n">
        <v>42</v>
      </c>
      <c r="AG138" t="n">
        <v>44</v>
      </c>
      <c r="AH138" t="n">
        <v>19</v>
      </c>
      <c r="AI138" t="n">
        <v>20</v>
      </c>
      <c r="AJ138" t="n">
        <v>7</v>
      </c>
      <c r="AK138" t="n">
        <v>8</v>
      </c>
      <c r="AL138" t="n">
        <v>17</v>
      </c>
      <c r="AM138" t="n">
        <v>19</v>
      </c>
      <c r="AN138" t="n">
        <v>9</v>
      </c>
      <c r="AO138" t="n">
        <v>9</v>
      </c>
      <c r="AP138" t="n">
        <v>0</v>
      </c>
      <c r="AQ138" t="n">
        <v>0</v>
      </c>
      <c r="AR138" t="inlineStr">
        <is>
          <t>No</t>
        </is>
      </c>
      <c r="AS138" t="inlineStr">
        <is>
          <t>Yes</t>
        </is>
      </c>
      <c r="AT138">
        <f>HYPERLINK("http://catalog.hathitrust.org/Record/001208382","HathiTrust Record")</f>
        <v/>
      </c>
      <c r="AU138">
        <f>HYPERLINK("https://creighton-primo.hosted.exlibrisgroup.com/primo-explore/search?tab=default_tab&amp;search_scope=EVERYTHING&amp;vid=01CRU&amp;lang=en_US&amp;offset=0&amp;query=any,contains,991002410129702656","Catalog Record")</f>
        <v/>
      </c>
      <c r="AV138">
        <f>HYPERLINK("http://www.worldcat.org/oclc/339270","WorldCat Record")</f>
        <v/>
      </c>
      <c r="AW138" t="inlineStr">
        <is>
          <t>10628200792:eng</t>
        </is>
      </c>
      <c r="AX138" t="inlineStr">
        <is>
          <t>339270</t>
        </is>
      </c>
      <c r="AY138" t="inlineStr">
        <is>
          <t>991002410129702656</t>
        </is>
      </c>
      <c r="AZ138" t="inlineStr">
        <is>
          <t>991002410129702656</t>
        </is>
      </c>
      <c r="BA138" t="inlineStr">
        <is>
          <t>2259072260002656</t>
        </is>
      </c>
      <c r="BB138" t="inlineStr">
        <is>
          <t>BOOK</t>
        </is>
      </c>
      <c r="BE138" t="inlineStr">
        <is>
          <t>32285002725140</t>
        </is>
      </c>
      <c r="BF138" t="inlineStr">
        <is>
          <t>893523574</t>
        </is>
      </c>
    </row>
    <row r="139">
      <c r="A139" t="inlineStr">
        <is>
          <t>No</t>
        </is>
      </c>
      <c r="B139" t="inlineStr">
        <is>
          <t>CURAL</t>
        </is>
      </c>
      <c r="C139" t="inlineStr">
        <is>
          <t>SHELVES</t>
        </is>
      </c>
      <c r="D139" t="inlineStr">
        <is>
          <t>PQ2309.H4 Z636 1987</t>
        </is>
      </c>
      <c r="E139" t="inlineStr">
        <is>
          <t>0                      PQ 2309000H  4                  Z  636         1987</t>
        </is>
      </c>
      <c r="F139" t="inlineStr">
        <is>
          <t>J.-K. Huysmans--novelist, poet, and art critic / by Annette Kahn.</t>
        </is>
      </c>
      <c r="H139" t="inlineStr">
        <is>
          <t>No</t>
        </is>
      </c>
      <c r="I139" t="inlineStr">
        <is>
          <t>1</t>
        </is>
      </c>
      <c r="J139" t="inlineStr">
        <is>
          <t>No</t>
        </is>
      </c>
      <c r="K139" t="inlineStr">
        <is>
          <t>No</t>
        </is>
      </c>
      <c r="L139" t="inlineStr">
        <is>
          <t>0</t>
        </is>
      </c>
      <c r="M139" t="inlineStr">
        <is>
          <t>Kahn, Annette, 1943-</t>
        </is>
      </c>
      <c r="N139" t="inlineStr">
        <is>
          <t>Ann Arbor, Mich. : UMI Research Press, c1987.</t>
        </is>
      </c>
      <c r="O139" t="inlineStr">
        <is>
          <t>1987</t>
        </is>
      </c>
      <c r="Q139" t="inlineStr">
        <is>
          <t>eng</t>
        </is>
      </c>
      <c r="R139" t="inlineStr">
        <is>
          <t>miu</t>
        </is>
      </c>
      <c r="S139" t="inlineStr">
        <is>
          <t>Studies in fine arts. Criticism ; no. 19</t>
        </is>
      </c>
      <c r="T139" t="inlineStr">
        <is>
          <t xml:space="preserve">PQ </t>
        </is>
      </c>
      <c r="U139" t="n">
        <v>3</v>
      </c>
      <c r="V139" t="n">
        <v>3</v>
      </c>
      <c r="W139" t="inlineStr">
        <is>
          <t>1996-04-09</t>
        </is>
      </c>
      <c r="X139" t="inlineStr">
        <is>
          <t>1996-04-09</t>
        </is>
      </c>
      <c r="Y139" t="inlineStr">
        <is>
          <t>1989-11-16</t>
        </is>
      </c>
      <c r="Z139" t="inlineStr">
        <is>
          <t>1989-11-16</t>
        </is>
      </c>
      <c r="AA139" t="n">
        <v>299</v>
      </c>
      <c r="AB139" t="n">
        <v>226</v>
      </c>
      <c r="AC139" t="n">
        <v>234</v>
      </c>
      <c r="AD139" t="n">
        <v>3</v>
      </c>
      <c r="AE139" t="n">
        <v>3</v>
      </c>
      <c r="AF139" t="n">
        <v>10</v>
      </c>
      <c r="AG139" t="n">
        <v>10</v>
      </c>
      <c r="AH139" t="n">
        <v>2</v>
      </c>
      <c r="AI139" t="n">
        <v>2</v>
      </c>
      <c r="AJ139" t="n">
        <v>3</v>
      </c>
      <c r="AK139" t="n">
        <v>3</v>
      </c>
      <c r="AL139" t="n">
        <v>6</v>
      </c>
      <c r="AM139" t="n">
        <v>6</v>
      </c>
      <c r="AN139" t="n">
        <v>2</v>
      </c>
      <c r="AO139" t="n">
        <v>2</v>
      </c>
      <c r="AP139" t="n">
        <v>0</v>
      </c>
      <c r="AQ139" t="n">
        <v>0</v>
      </c>
      <c r="AR139" t="inlineStr">
        <is>
          <t>No</t>
        </is>
      </c>
      <c r="AS139" t="inlineStr">
        <is>
          <t>No</t>
        </is>
      </c>
      <c r="AU139">
        <f>HYPERLINK("https://creighton-primo.hosted.exlibrisgroup.com/primo-explore/search?tab=default_tab&amp;search_scope=EVERYTHING&amp;vid=01CRU&amp;lang=en_US&amp;offset=0&amp;query=any,contains,991000972949702656","Catalog Record")</f>
        <v/>
      </c>
      <c r="AV139">
        <f>HYPERLINK("http://www.worldcat.org/oclc/14966793","WorldCat Record")</f>
        <v/>
      </c>
      <c r="AW139" t="inlineStr">
        <is>
          <t>8548737:eng</t>
        </is>
      </c>
      <c r="AX139" t="inlineStr">
        <is>
          <t>14966793</t>
        </is>
      </c>
      <c r="AY139" t="inlineStr">
        <is>
          <t>991000972949702656</t>
        </is>
      </c>
      <c r="AZ139" t="inlineStr">
        <is>
          <t>991000972949702656</t>
        </is>
      </c>
      <c r="BA139" t="inlineStr">
        <is>
          <t>2264174250002656</t>
        </is>
      </c>
      <c r="BB139" t="inlineStr">
        <is>
          <t>BOOK</t>
        </is>
      </c>
      <c r="BD139" t="inlineStr">
        <is>
          <t>9780835717151</t>
        </is>
      </c>
      <c r="BE139" t="inlineStr">
        <is>
          <t>32285000014034</t>
        </is>
      </c>
      <c r="BF139" t="inlineStr">
        <is>
          <t>893509269</t>
        </is>
      </c>
    </row>
    <row r="140">
      <c r="A140" t="inlineStr">
        <is>
          <t>No</t>
        </is>
      </c>
      <c r="B140" t="inlineStr">
        <is>
          <t>CURAL</t>
        </is>
      </c>
      <c r="C140" t="inlineStr">
        <is>
          <t>SHELVES</t>
        </is>
      </c>
      <c r="D140" t="inlineStr">
        <is>
          <t>PQ2321 .P7 1973</t>
        </is>
      </c>
      <c r="E140" t="inlineStr">
        <is>
          <t>0                      PQ 2321000P  7           1973</t>
        </is>
      </c>
      <c r="F140" t="inlineStr">
        <is>
          <t>The happiest of the three [by] Eugène Labiche and Edmond Gondinet; [and] Let's get a divorce! [by] Victorien Sardou and Emile de Najac; [and] Get out of my hair! [by] Georges Feydeau; translated and introduced by Frederick Davies.</t>
        </is>
      </c>
      <c r="H140" t="inlineStr">
        <is>
          <t>No</t>
        </is>
      </c>
      <c r="I140" t="inlineStr">
        <is>
          <t>1</t>
        </is>
      </c>
      <c r="J140" t="inlineStr">
        <is>
          <t>No</t>
        </is>
      </c>
      <c r="K140" t="inlineStr">
        <is>
          <t>No</t>
        </is>
      </c>
      <c r="L140" t="inlineStr">
        <is>
          <t>0</t>
        </is>
      </c>
      <c r="M140" t="inlineStr">
        <is>
          <t>Labiche, Eugène, 1815-1888.</t>
        </is>
      </c>
      <c r="N140" t="inlineStr">
        <is>
          <t>Harmondsworth, Penguin, 1973.</t>
        </is>
      </c>
      <c r="O140" t="inlineStr">
        <is>
          <t>1973</t>
        </is>
      </c>
      <c r="Q140" t="inlineStr">
        <is>
          <t>eng</t>
        </is>
      </c>
      <c r="R140" t="inlineStr">
        <is>
          <t>enk</t>
        </is>
      </c>
      <c r="S140" t="inlineStr">
        <is>
          <t>Penguin classics</t>
        </is>
      </c>
      <c r="T140" t="inlineStr">
        <is>
          <t xml:space="preserve">PQ </t>
        </is>
      </c>
      <c r="U140" t="n">
        <v>2</v>
      </c>
      <c r="V140" t="n">
        <v>2</v>
      </c>
      <c r="W140" t="inlineStr">
        <is>
          <t>1998-10-07</t>
        </is>
      </c>
      <c r="X140" t="inlineStr">
        <is>
          <t>1998-10-07</t>
        </is>
      </c>
      <c r="Y140" t="inlineStr">
        <is>
          <t>1997-05-16</t>
        </is>
      </c>
      <c r="Z140" t="inlineStr">
        <is>
          <t>1997-05-16</t>
        </is>
      </c>
      <c r="AA140" t="n">
        <v>244</v>
      </c>
      <c r="AB140" t="n">
        <v>174</v>
      </c>
      <c r="AC140" t="n">
        <v>176</v>
      </c>
      <c r="AD140" t="n">
        <v>4</v>
      </c>
      <c r="AE140" t="n">
        <v>4</v>
      </c>
      <c r="AF140" t="n">
        <v>9</v>
      </c>
      <c r="AG140" t="n">
        <v>9</v>
      </c>
      <c r="AH140" t="n">
        <v>2</v>
      </c>
      <c r="AI140" t="n">
        <v>2</v>
      </c>
      <c r="AJ140" t="n">
        <v>1</v>
      </c>
      <c r="AK140" t="n">
        <v>1</v>
      </c>
      <c r="AL140" t="n">
        <v>3</v>
      </c>
      <c r="AM140" t="n">
        <v>3</v>
      </c>
      <c r="AN140" t="n">
        <v>3</v>
      </c>
      <c r="AO140" t="n">
        <v>3</v>
      </c>
      <c r="AP140" t="n">
        <v>0</v>
      </c>
      <c r="AQ140" t="n">
        <v>0</v>
      </c>
      <c r="AR140" t="inlineStr">
        <is>
          <t>No</t>
        </is>
      </c>
      <c r="AS140" t="inlineStr">
        <is>
          <t>Yes</t>
        </is>
      </c>
      <c r="AT140">
        <f>HYPERLINK("http://catalog.hathitrust.org/Record/007458020","HathiTrust Record")</f>
        <v/>
      </c>
      <c r="AU140">
        <f>HYPERLINK("https://creighton-primo.hosted.exlibrisgroup.com/primo-explore/search?tab=default_tab&amp;search_scope=EVERYTHING&amp;vid=01CRU&amp;lang=en_US&amp;offset=0&amp;query=any,contains,991003378869702656","Catalog Record")</f>
        <v/>
      </c>
      <c r="AV140">
        <f>HYPERLINK("http://www.worldcat.org/oclc/915037","WorldCat Record")</f>
        <v/>
      </c>
      <c r="AW140" t="inlineStr">
        <is>
          <t>10567724387:eng</t>
        </is>
      </c>
      <c r="AX140" t="inlineStr">
        <is>
          <t>915037</t>
        </is>
      </c>
      <c r="AY140" t="inlineStr">
        <is>
          <t>991003378869702656</t>
        </is>
      </c>
      <c r="AZ140" t="inlineStr">
        <is>
          <t>991003378869702656</t>
        </is>
      </c>
      <c r="BA140" t="inlineStr">
        <is>
          <t>2265057800002656</t>
        </is>
      </c>
      <c r="BB140" t="inlineStr">
        <is>
          <t>BOOK</t>
        </is>
      </c>
      <c r="BD140" t="inlineStr">
        <is>
          <t>9780140442922</t>
        </is>
      </c>
      <c r="BE140" t="inlineStr">
        <is>
          <t>32285002725264</t>
        </is>
      </c>
      <c r="BF140" t="inlineStr">
        <is>
          <t>893348628</t>
        </is>
      </c>
    </row>
    <row r="141">
      <c r="A141" t="inlineStr">
        <is>
          <t>No</t>
        </is>
      </c>
      <c r="B141" t="inlineStr">
        <is>
          <t>CURAL</t>
        </is>
      </c>
      <c r="C141" t="inlineStr">
        <is>
          <t>SHELVES</t>
        </is>
      </c>
      <c r="D141" t="inlineStr">
        <is>
          <t>PQ2325 .G6 1900</t>
        </is>
      </c>
      <c r="E141" t="inlineStr">
        <is>
          <t>0                      PQ 2325000G  6           1900</t>
        </is>
      </c>
      <c r="F141" t="inlineStr">
        <is>
          <t>Graziella / par A. de Lamartine ; edited with introduction and notes by F.M. Warren.</t>
        </is>
      </c>
      <c r="H141" t="inlineStr">
        <is>
          <t>No</t>
        </is>
      </c>
      <c r="I141" t="inlineStr">
        <is>
          <t>1</t>
        </is>
      </c>
      <c r="J141" t="inlineStr">
        <is>
          <t>No</t>
        </is>
      </c>
      <c r="K141" t="inlineStr">
        <is>
          <t>No</t>
        </is>
      </c>
      <c r="L141" t="inlineStr">
        <is>
          <t>0</t>
        </is>
      </c>
      <c r="M141" t="inlineStr">
        <is>
          <t>Lamartine, Alphonse de, 1790-1869.</t>
        </is>
      </c>
      <c r="N141" t="inlineStr">
        <is>
          <t>Boston : D.C. Heath &amp; Co., c1900.</t>
        </is>
      </c>
      <c r="O141" t="inlineStr">
        <is>
          <t>1900</t>
        </is>
      </c>
      <c r="Q141" t="inlineStr">
        <is>
          <t>fre</t>
        </is>
      </c>
      <c r="R141" t="inlineStr">
        <is>
          <t xml:space="preserve">fr </t>
        </is>
      </c>
      <c r="S141" t="inlineStr">
        <is>
          <t>Heath's modern language series</t>
        </is>
      </c>
      <c r="T141" t="inlineStr">
        <is>
          <t xml:space="preserve">PQ </t>
        </is>
      </c>
      <c r="U141" t="n">
        <v>1</v>
      </c>
      <c r="V141" t="n">
        <v>1</v>
      </c>
      <c r="W141" t="inlineStr">
        <is>
          <t>2004-02-20</t>
        </is>
      </c>
      <c r="X141" t="inlineStr">
        <is>
          <t>2004-02-20</t>
        </is>
      </c>
      <c r="Y141" t="inlineStr">
        <is>
          <t>1997-05-16</t>
        </is>
      </c>
      <c r="Z141" t="inlineStr">
        <is>
          <t>1997-05-16</t>
        </is>
      </c>
      <c r="AA141" t="n">
        <v>198</v>
      </c>
      <c r="AB141" t="n">
        <v>186</v>
      </c>
      <c r="AC141" t="n">
        <v>615</v>
      </c>
      <c r="AD141" t="n">
        <v>4</v>
      </c>
      <c r="AE141" t="n">
        <v>6</v>
      </c>
      <c r="AF141" t="n">
        <v>6</v>
      </c>
      <c r="AG141" t="n">
        <v>28</v>
      </c>
      <c r="AH141" t="n">
        <v>0</v>
      </c>
      <c r="AI141" t="n">
        <v>9</v>
      </c>
      <c r="AJ141" t="n">
        <v>0</v>
      </c>
      <c r="AK141" t="n">
        <v>6</v>
      </c>
      <c r="AL141" t="n">
        <v>3</v>
      </c>
      <c r="AM141" t="n">
        <v>13</v>
      </c>
      <c r="AN141" t="n">
        <v>3</v>
      </c>
      <c r="AO141" t="n">
        <v>5</v>
      </c>
      <c r="AP141" t="n">
        <v>0</v>
      </c>
      <c r="AQ141" t="n">
        <v>0</v>
      </c>
      <c r="AR141" t="inlineStr">
        <is>
          <t>Yes</t>
        </is>
      </c>
      <c r="AS141" t="inlineStr">
        <is>
          <t>No</t>
        </is>
      </c>
      <c r="AT141">
        <f>HYPERLINK("http://catalog.hathitrust.org/Record/001208903","HathiTrust Record")</f>
        <v/>
      </c>
      <c r="AU141">
        <f>HYPERLINK("https://creighton-primo.hosted.exlibrisgroup.com/primo-explore/search?tab=default_tab&amp;search_scope=EVERYTHING&amp;vid=01CRU&amp;lang=en_US&amp;offset=0&amp;query=any,contains,991003303519702656","Catalog Record")</f>
        <v/>
      </c>
      <c r="AV141">
        <f>HYPERLINK("http://www.worldcat.org/oclc/826627","WorldCat Record")</f>
        <v/>
      </c>
      <c r="AW141" t="inlineStr">
        <is>
          <t>365922:fre</t>
        </is>
      </c>
      <c r="AX141" t="inlineStr">
        <is>
          <t>826627</t>
        </is>
      </c>
      <c r="AY141" t="inlineStr">
        <is>
          <t>991003303519702656</t>
        </is>
      </c>
      <c r="AZ141" t="inlineStr">
        <is>
          <t>991003303519702656</t>
        </is>
      </c>
      <c r="BA141" t="inlineStr">
        <is>
          <t>2267644640002656</t>
        </is>
      </c>
      <c r="BB141" t="inlineStr">
        <is>
          <t>BOOK</t>
        </is>
      </c>
      <c r="BE141" t="inlineStr">
        <is>
          <t>32285002725322</t>
        </is>
      </c>
      <c r="BF141" t="inlineStr">
        <is>
          <t>893592398</t>
        </is>
      </c>
    </row>
    <row r="142">
      <c r="A142" t="inlineStr">
        <is>
          <t>No</t>
        </is>
      </c>
      <c r="B142" t="inlineStr">
        <is>
          <t>CURAL</t>
        </is>
      </c>
      <c r="C142" t="inlineStr">
        <is>
          <t>SHELVES</t>
        </is>
      </c>
      <c r="D142" t="inlineStr">
        <is>
          <t>PQ2326 .L6</t>
        </is>
      </c>
      <c r="E142" t="inlineStr">
        <is>
          <t>0                      PQ 2326000L  6</t>
        </is>
      </c>
      <c r="F142" t="inlineStr">
        <is>
          <t>Lamartine, by Charles M. Lombard.</t>
        </is>
      </c>
      <c r="H142" t="inlineStr">
        <is>
          <t>No</t>
        </is>
      </c>
      <c r="I142" t="inlineStr">
        <is>
          <t>1</t>
        </is>
      </c>
      <c r="J142" t="inlineStr">
        <is>
          <t>No</t>
        </is>
      </c>
      <c r="K142" t="inlineStr">
        <is>
          <t>No</t>
        </is>
      </c>
      <c r="L142" t="inlineStr">
        <is>
          <t>0</t>
        </is>
      </c>
      <c r="M142" t="inlineStr">
        <is>
          <t>Lombard, Charles M.</t>
        </is>
      </c>
      <c r="N142" t="inlineStr">
        <is>
          <t>New York, Twayne [1973]</t>
        </is>
      </c>
      <c r="O142" t="inlineStr">
        <is>
          <t>1973</t>
        </is>
      </c>
      <c r="Q142" t="inlineStr">
        <is>
          <t>eng</t>
        </is>
      </c>
      <c r="R142" t="inlineStr">
        <is>
          <t>nyu</t>
        </is>
      </c>
      <c r="S142" t="inlineStr">
        <is>
          <t>Twayne's world authors series, TWAS 254. France</t>
        </is>
      </c>
      <c r="T142" t="inlineStr">
        <is>
          <t xml:space="preserve">PQ </t>
        </is>
      </c>
      <c r="U142" t="n">
        <v>1</v>
      </c>
      <c r="V142" t="n">
        <v>1</v>
      </c>
      <c r="W142" t="inlineStr">
        <is>
          <t>2004-04-15</t>
        </is>
      </c>
      <c r="X142" t="inlineStr">
        <is>
          <t>2004-04-15</t>
        </is>
      </c>
      <c r="Y142" t="inlineStr">
        <is>
          <t>1997-05-16</t>
        </is>
      </c>
      <c r="Z142" t="inlineStr">
        <is>
          <t>1997-05-16</t>
        </is>
      </c>
      <c r="AA142" t="n">
        <v>653</v>
      </c>
      <c r="AB142" t="n">
        <v>577</v>
      </c>
      <c r="AC142" t="n">
        <v>583</v>
      </c>
      <c r="AD142" t="n">
        <v>4</v>
      </c>
      <c r="AE142" t="n">
        <v>4</v>
      </c>
      <c r="AF142" t="n">
        <v>24</v>
      </c>
      <c r="AG142" t="n">
        <v>24</v>
      </c>
      <c r="AH142" t="n">
        <v>8</v>
      </c>
      <c r="AI142" t="n">
        <v>8</v>
      </c>
      <c r="AJ142" t="n">
        <v>7</v>
      </c>
      <c r="AK142" t="n">
        <v>7</v>
      </c>
      <c r="AL142" t="n">
        <v>14</v>
      </c>
      <c r="AM142" t="n">
        <v>14</v>
      </c>
      <c r="AN142" t="n">
        <v>3</v>
      </c>
      <c r="AO142" t="n">
        <v>3</v>
      </c>
      <c r="AP142" t="n">
        <v>0</v>
      </c>
      <c r="AQ142" t="n">
        <v>0</v>
      </c>
      <c r="AR142" t="inlineStr">
        <is>
          <t>No</t>
        </is>
      </c>
      <c r="AS142" t="inlineStr">
        <is>
          <t>Yes</t>
        </is>
      </c>
      <c r="AT142">
        <f>HYPERLINK("http://catalog.hathitrust.org/Record/001015085","HathiTrust Record")</f>
        <v/>
      </c>
      <c r="AU142">
        <f>HYPERLINK("https://creighton-primo.hosted.exlibrisgroup.com/primo-explore/search?tab=default_tab&amp;search_scope=EVERYTHING&amp;vid=01CRU&amp;lang=en_US&amp;offset=0&amp;query=any,contains,991003151299702656","Catalog Record")</f>
        <v/>
      </c>
      <c r="AV142">
        <f>HYPERLINK("http://www.worldcat.org/oclc/690708","WorldCat Record")</f>
        <v/>
      </c>
      <c r="AW142" t="inlineStr">
        <is>
          <t>1784640:eng</t>
        </is>
      </c>
      <c r="AX142" t="inlineStr">
        <is>
          <t>690708</t>
        </is>
      </c>
      <c r="AY142" t="inlineStr">
        <is>
          <t>991003151299702656</t>
        </is>
      </c>
      <c r="AZ142" t="inlineStr">
        <is>
          <t>991003151299702656</t>
        </is>
      </c>
      <c r="BA142" t="inlineStr">
        <is>
          <t>2260674530002656</t>
        </is>
      </c>
      <c r="BB142" t="inlineStr">
        <is>
          <t>BOOK</t>
        </is>
      </c>
      <c r="BE142" t="inlineStr">
        <is>
          <t>32285002725330</t>
        </is>
      </c>
      <c r="BF142" t="inlineStr">
        <is>
          <t>893780658</t>
        </is>
      </c>
    </row>
    <row r="143">
      <c r="A143" t="inlineStr">
        <is>
          <t>No</t>
        </is>
      </c>
      <c r="B143" t="inlineStr">
        <is>
          <t>CURAL</t>
        </is>
      </c>
      <c r="C143" t="inlineStr">
        <is>
          <t>SHELVES</t>
        </is>
      </c>
      <c r="D143" t="inlineStr">
        <is>
          <t>PQ233 .S3</t>
        </is>
      </c>
      <c r="E143" t="inlineStr">
        <is>
          <t>0                      PQ 0233000S  3</t>
        </is>
      </c>
      <c r="F143" t="inlineStr">
        <is>
          <t>Études sur le XVIe [i.e. seizième] siècle, avec les témoignages de François Mauriac et Marc Boegner ... Raymond Queneau ... Robert Kanters.</t>
        </is>
      </c>
      <c r="H143" t="inlineStr">
        <is>
          <t>No</t>
        </is>
      </c>
      <c r="I143" t="inlineStr">
        <is>
          <t>1</t>
        </is>
      </c>
      <c r="J143" t="inlineStr">
        <is>
          <t>No</t>
        </is>
      </c>
      <c r="K143" t="inlineStr">
        <is>
          <t>No</t>
        </is>
      </c>
      <c r="L143" t="inlineStr">
        <is>
          <t>0</t>
        </is>
      </c>
      <c r="M143" t="inlineStr">
        <is>
          <t>Schmidt, Albert-Marie, compiler.</t>
        </is>
      </c>
      <c r="N143" t="inlineStr">
        <is>
          <t>Paris, A. Michel, 1967.</t>
        </is>
      </c>
      <c r="O143" t="inlineStr">
        <is>
          <t>1967</t>
        </is>
      </c>
      <c r="Q143" t="inlineStr">
        <is>
          <t>fre</t>
        </is>
      </c>
      <c r="R143" t="inlineStr">
        <is>
          <t xml:space="preserve">fr </t>
        </is>
      </c>
      <c r="T143" t="inlineStr">
        <is>
          <t xml:space="preserve">PQ </t>
        </is>
      </c>
      <c r="U143" t="n">
        <v>1</v>
      </c>
      <c r="V143" t="n">
        <v>1</v>
      </c>
      <c r="W143" t="inlineStr">
        <is>
          <t>2002-04-01</t>
        </is>
      </c>
      <c r="X143" t="inlineStr">
        <is>
          <t>2002-04-01</t>
        </is>
      </c>
      <c r="Y143" t="inlineStr">
        <is>
          <t>1997-04-29</t>
        </is>
      </c>
      <c r="Z143" t="inlineStr">
        <is>
          <t>1997-04-29</t>
        </is>
      </c>
      <c r="AA143" t="n">
        <v>248</v>
      </c>
      <c r="AB143" t="n">
        <v>161</v>
      </c>
      <c r="AC143" t="n">
        <v>164</v>
      </c>
      <c r="AD143" t="n">
        <v>3</v>
      </c>
      <c r="AE143" t="n">
        <v>3</v>
      </c>
      <c r="AF143" t="n">
        <v>10</v>
      </c>
      <c r="AG143" t="n">
        <v>10</v>
      </c>
      <c r="AH143" t="n">
        <v>1</v>
      </c>
      <c r="AI143" t="n">
        <v>1</v>
      </c>
      <c r="AJ143" t="n">
        <v>3</v>
      </c>
      <c r="AK143" t="n">
        <v>3</v>
      </c>
      <c r="AL143" t="n">
        <v>6</v>
      </c>
      <c r="AM143" t="n">
        <v>6</v>
      </c>
      <c r="AN143" t="n">
        <v>2</v>
      </c>
      <c r="AO143" t="n">
        <v>2</v>
      </c>
      <c r="AP143" t="n">
        <v>0</v>
      </c>
      <c r="AQ143" t="n">
        <v>0</v>
      </c>
      <c r="AR143" t="inlineStr">
        <is>
          <t>No</t>
        </is>
      </c>
      <c r="AS143" t="inlineStr">
        <is>
          <t>Yes</t>
        </is>
      </c>
      <c r="AT143">
        <f>HYPERLINK("http://catalog.hathitrust.org/Record/001202378","HathiTrust Record")</f>
        <v/>
      </c>
      <c r="AU143">
        <f>HYPERLINK("https://creighton-primo.hosted.exlibrisgroup.com/primo-explore/search?tab=default_tab&amp;search_scope=EVERYTHING&amp;vid=01CRU&amp;lang=en_US&amp;offset=0&amp;query=any,contains,991002878879702656","Catalog Record")</f>
        <v/>
      </c>
      <c r="AV143">
        <f>HYPERLINK("http://www.worldcat.org/oclc/504338","WorldCat Record")</f>
        <v/>
      </c>
      <c r="AW143" t="inlineStr">
        <is>
          <t>181134283:fre</t>
        </is>
      </c>
      <c r="AX143" t="inlineStr">
        <is>
          <t>504338</t>
        </is>
      </c>
      <c r="AY143" t="inlineStr">
        <is>
          <t>991002878879702656</t>
        </is>
      </c>
      <c r="AZ143" t="inlineStr">
        <is>
          <t>991002878879702656</t>
        </is>
      </c>
      <c r="BA143" t="inlineStr">
        <is>
          <t>2260886860002656</t>
        </is>
      </c>
      <c r="BB143" t="inlineStr">
        <is>
          <t>BOOK</t>
        </is>
      </c>
      <c r="BE143" t="inlineStr">
        <is>
          <t>32285002589058</t>
        </is>
      </c>
      <c r="BF143" t="inlineStr">
        <is>
          <t>893874126</t>
        </is>
      </c>
    </row>
    <row r="144">
      <c r="A144" t="inlineStr">
        <is>
          <t>No</t>
        </is>
      </c>
      <c r="B144" t="inlineStr">
        <is>
          <t>CURAL</t>
        </is>
      </c>
      <c r="C144" t="inlineStr">
        <is>
          <t>SHELVES</t>
        </is>
      </c>
      <c r="D144" t="inlineStr">
        <is>
          <t>PQ2344.Z5 B42</t>
        </is>
      </c>
      <c r="E144" t="inlineStr">
        <is>
          <t>0                      PQ 2344000Z  5                  B  42</t>
        </is>
      </c>
      <c r="F144" t="inlineStr">
        <is>
          <t>The death of Stéphane Mallarmé / Leo Bersani.</t>
        </is>
      </c>
      <c r="H144" t="inlineStr">
        <is>
          <t>No</t>
        </is>
      </c>
      <c r="I144" t="inlineStr">
        <is>
          <t>1</t>
        </is>
      </c>
      <c r="J144" t="inlineStr">
        <is>
          <t>No</t>
        </is>
      </c>
      <c r="K144" t="inlineStr">
        <is>
          <t>No</t>
        </is>
      </c>
      <c r="L144" t="inlineStr">
        <is>
          <t>0</t>
        </is>
      </c>
      <c r="M144" t="inlineStr">
        <is>
          <t>Bersani, Leo.</t>
        </is>
      </c>
      <c r="N144" t="inlineStr">
        <is>
          <t>Cambridge [Cambridgeshire] ; New York : Cambridge University Press, 1982.</t>
        </is>
      </c>
      <c r="O144" t="inlineStr">
        <is>
          <t>1982</t>
        </is>
      </c>
      <c r="Q144" t="inlineStr">
        <is>
          <t>eng</t>
        </is>
      </c>
      <c r="R144" t="inlineStr">
        <is>
          <t>enk</t>
        </is>
      </c>
      <c r="S144" t="inlineStr">
        <is>
          <t>Cambridge studies in French</t>
        </is>
      </c>
      <c r="T144" t="inlineStr">
        <is>
          <t xml:space="preserve">PQ </t>
        </is>
      </c>
      <c r="U144" t="n">
        <v>1</v>
      </c>
      <c r="V144" t="n">
        <v>1</v>
      </c>
      <c r="W144" t="inlineStr">
        <is>
          <t>1996-05-02</t>
        </is>
      </c>
      <c r="X144" t="inlineStr">
        <is>
          <t>1996-05-02</t>
        </is>
      </c>
      <c r="Y144" t="inlineStr">
        <is>
          <t>1991-05-09</t>
        </is>
      </c>
      <c r="Z144" t="inlineStr">
        <is>
          <t>1991-05-09</t>
        </is>
      </c>
      <c r="AA144" t="n">
        <v>404</v>
      </c>
      <c r="AB144" t="n">
        <v>288</v>
      </c>
      <c r="AC144" t="n">
        <v>293</v>
      </c>
      <c r="AD144" t="n">
        <v>3</v>
      </c>
      <c r="AE144" t="n">
        <v>3</v>
      </c>
      <c r="AF144" t="n">
        <v>12</v>
      </c>
      <c r="AG144" t="n">
        <v>13</v>
      </c>
      <c r="AH144" t="n">
        <v>4</v>
      </c>
      <c r="AI144" t="n">
        <v>4</v>
      </c>
      <c r="AJ144" t="n">
        <v>2</v>
      </c>
      <c r="AK144" t="n">
        <v>3</v>
      </c>
      <c r="AL144" t="n">
        <v>6</v>
      </c>
      <c r="AM144" t="n">
        <v>7</v>
      </c>
      <c r="AN144" t="n">
        <v>2</v>
      </c>
      <c r="AO144" t="n">
        <v>2</v>
      </c>
      <c r="AP144" t="n">
        <v>0</v>
      </c>
      <c r="AQ144" t="n">
        <v>0</v>
      </c>
      <c r="AR144" t="inlineStr">
        <is>
          <t>No</t>
        </is>
      </c>
      <c r="AS144" t="inlineStr">
        <is>
          <t>No</t>
        </is>
      </c>
      <c r="AU144">
        <f>HYPERLINK("https://creighton-primo.hosted.exlibrisgroup.com/primo-explore/search?tab=default_tab&amp;search_scope=EVERYTHING&amp;vid=01CRU&amp;lang=en_US&amp;offset=0&amp;query=any,contains,991005125709702656","Catalog Record")</f>
        <v/>
      </c>
      <c r="AV144">
        <f>HYPERLINK("http://www.worldcat.org/oclc/7553446","WorldCat Record")</f>
        <v/>
      </c>
      <c r="AW144" t="inlineStr">
        <is>
          <t>505021:eng</t>
        </is>
      </c>
      <c r="AX144" t="inlineStr">
        <is>
          <t>7553446</t>
        </is>
      </c>
      <c r="AY144" t="inlineStr">
        <is>
          <t>991005125709702656</t>
        </is>
      </c>
      <c r="AZ144" t="inlineStr">
        <is>
          <t>991005125709702656</t>
        </is>
      </c>
      <c r="BA144" t="inlineStr">
        <is>
          <t>2262765010002656</t>
        </is>
      </c>
      <c r="BB144" t="inlineStr">
        <is>
          <t>BOOK</t>
        </is>
      </c>
      <c r="BD144" t="inlineStr">
        <is>
          <t>9780521238632</t>
        </is>
      </c>
      <c r="BE144" t="inlineStr">
        <is>
          <t>32285000602937</t>
        </is>
      </c>
      <c r="BF144" t="inlineStr">
        <is>
          <t>893701058</t>
        </is>
      </c>
    </row>
    <row r="145">
      <c r="A145" t="inlineStr">
        <is>
          <t>No</t>
        </is>
      </c>
      <c r="B145" t="inlineStr">
        <is>
          <t>CURAL</t>
        </is>
      </c>
      <c r="C145" t="inlineStr">
        <is>
          <t>SHELVES</t>
        </is>
      </c>
      <c r="D145" t="inlineStr">
        <is>
          <t>PQ2344.Z5 C516 1970</t>
        </is>
      </c>
      <c r="E145" t="inlineStr">
        <is>
          <t>0                      PQ 2344000Z  5                  C  516         1970</t>
        </is>
      </c>
      <c r="F145" t="inlineStr">
        <is>
          <t>Symbolisme from Poe to Mallarmé ; the growth of a myth / by Joseph Chiari, foreword by T. S. Eliot.</t>
        </is>
      </c>
      <c r="H145" t="inlineStr">
        <is>
          <t>No</t>
        </is>
      </c>
      <c r="I145" t="inlineStr">
        <is>
          <t>1</t>
        </is>
      </c>
      <c r="J145" t="inlineStr">
        <is>
          <t>No</t>
        </is>
      </c>
      <c r="K145" t="inlineStr">
        <is>
          <t>No</t>
        </is>
      </c>
      <c r="L145" t="inlineStr">
        <is>
          <t>0</t>
        </is>
      </c>
      <c r="M145" t="inlineStr">
        <is>
          <t>Chiari, Joseph.</t>
        </is>
      </c>
      <c r="N145" t="inlineStr">
        <is>
          <t>New York, Gordian Press, 1970 [c1956]</t>
        </is>
      </c>
      <c r="O145" t="inlineStr">
        <is>
          <t>1970</t>
        </is>
      </c>
      <c r="P145" t="inlineStr">
        <is>
          <t>2d ed. --</t>
        </is>
      </c>
      <c r="Q145" t="inlineStr">
        <is>
          <t>eng</t>
        </is>
      </c>
      <c r="R145" t="inlineStr">
        <is>
          <t>nyu</t>
        </is>
      </c>
      <c r="T145" t="inlineStr">
        <is>
          <t xml:space="preserve">PQ </t>
        </is>
      </c>
      <c r="U145" t="n">
        <v>2</v>
      </c>
      <c r="V145" t="n">
        <v>2</v>
      </c>
      <c r="W145" t="inlineStr">
        <is>
          <t>1995-03-21</t>
        </is>
      </c>
      <c r="X145" t="inlineStr">
        <is>
          <t>1995-03-21</t>
        </is>
      </c>
      <c r="Y145" t="inlineStr">
        <is>
          <t>1995-03-16</t>
        </is>
      </c>
      <c r="Z145" t="inlineStr">
        <is>
          <t>1995-03-16</t>
        </is>
      </c>
      <c r="AA145" t="n">
        <v>438</v>
      </c>
      <c r="AB145" t="n">
        <v>370</v>
      </c>
      <c r="AC145" t="n">
        <v>723</v>
      </c>
      <c r="AD145" t="n">
        <v>2</v>
      </c>
      <c r="AE145" t="n">
        <v>4</v>
      </c>
      <c r="AF145" t="n">
        <v>17</v>
      </c>
      <c r="AG145" t="n">
        <v>34</v>
      </c>
      <c r="AH145" t="n">
        <v>10</v>
      </c>
      <c r="AI145" t="n">
        <v>16</v>
      </c>
      <c r="AJ145" t="n">
        <v>2</v>
      </c>
      <c r="AK145" t="n">
        <v>8</v>
      </c>
      <c r="AL145" t="n">
        <v>7</v>
      </c>
      <c r="AM145" t="n">
        <v>15</v>
      </c>
      <c r="AN145" t="n">
        <v>1</v>
      </c>
      <c r="AO145" t="n">
        <v>3</v>
      </c>
      <c r="AP145" t="n">
        <v>0</v>
      </c>
      <c r="AQ145" t="n">
        <v>0</v>
      </c>
      <c r="AR145" t="inlineStr">
        <is>
          <t>No</t>
        </is>
      </c>
      <c r="AS145" t="inlineStr">
        <is>
          <t>No</t>
        </is>
      </c>
      <c r="AU145">
        <f>HYPERLINK("https://creighton-primo.hosted.exlibrisgroup.com/primo-explore/search?tab=default_tab&amp;search_scope=EVERYTHING&amp;vid=01CRU&amp;lang=en_US&amp;offset=0&amp;query=any,contains,991000599439702656","Catalog Record")</f>
        <v/>
      </c>
      <c r="AV145">
        <f>HYPERLINK("http://www.worldcat.org/oclc/98073","WorldCat Record")</f>
        <v/>
      </c>
      <c r="AW145" t="inlineStr">
        <is>
          <t>1327763:eng</t>
        </is>
      </c>
      <c r="AX145" t="inlineStr">
        <is>
          <t>98073</t>
        </is>
      </c>
      <c r="AY145" t="inlineStr">
        <is>
          <t>991000599439702656</t>
        </is>
      </c>
      <c r="AZ145" t="inlineStr">
        <is>
          <t>991000599439702656</t>
        </is>
      </c>
      <c r="BA145" t="inlineStr">
        <is>
          <t>2272140770002656</t>
        </is>
      </c>
      <c r="BB145" t="inlineStr">
        <is>
          <t>BOOK</t>
        </is>
      </c>
      <c r="BD145" t="inlineStr">
        <is>
          <t>9780877520207</t>
        </is>
      </c>
      <c r="BE145" t="inlineStr">
        <is>
          <t>32285002020278</t>
        </is>
      </c>
      <c r="BF145" t="inlineStr">
        <is>
          <t>893683565</t>
        </is>
      </c>
    </row>
    <row r="146">
      <c r="A146" t="inlineStr">
        <is>
          <t>No</t>
        </is>
      </c>
      <c r="B146" t="inlineStr">
        <is>
          <t>CURAL</t>
        </is>
      </c>
      <c r="C146" t="inlineStr">
        <is>
          <t>SHELVES</t>
        </is>
      </c>
      <c r="D146" t="inlineStr">
        <is>
          <t>PQ2344.Z5 S78 1987</t>
        </is>
      </c>
      <c r="E146" t="inlineStr">
        <is>
          <t>0                      PQ 2344000Z  5                  S  78          1987</t>
        </is>
      </c>
      <c r="F146" t="inlineStr">
        <is>
          <t>Stéphane Mallarmé / edited and with an introduction by Harold Bloom.</t>
        </is>
      </c>
      <c r="H146" t="inlineStr">
        <is>
          <t>No</t>
        </is>
      </c>
      <c r="I146" t="inlineStr">
        <is>
          <t>1</t>
        </is>
      </c>
      <c r="J146" t="inlineStr">
        <is>
          <t>No</t>
        </is>
      </c>
      <c r="K146" t="inlineStr">
        <is>
          <t>No</t>
        </is>
      </c>
      <c r="L146" t="inlineStr">
        <is>
          <t>0</t>
        </is>
      </c>
      <c r="N146" t="inlineStr">
        <is>
          <t>New York : Chelsea House Publishers, 1987.</t>
        </is>
      </c>
      <c r="O146" t="inlineStr">
        <is>
          <t>1987</t>
        </is>
      </c>
      <c r="Q146" t="inlineStr">
        <is>
          <t>eng</t>
        </is>
      </c>
      <c r="R146" t="inlineStr">
        <is>
          <t>nyu</t>
        </is>
      </c>
      <c r="S146" t="inlineStr">
        <is>
          <t>Modern critical views</t>
        </is>
      </c>
      <c r="T146" t="inlineStr">
        <is>
          <t xml:space="preserve">PQ </t>
        </is>
      </c>
      <c r="U146" t="n">
        <v>2</v>
      </c>
      <c r="V146" t="n">
        <v>2</v>
      </c>
      <c r="W146" t="inlineStr">
        <is>
          <t>1996-04-19</t>
        </is>
      </c>
      <c r="X146" t="inlineStr">
        <is>
          <t>1996-04-19</t>
        </is>
      </c>
      <c r="Y146" t="inlineStr">
        <is>
          <t>1995-10-30</t>
        </is>
      </c>
      <c r="Z146" t="inlineStr">
        <is>
          <t>1995-10-30</t>
        </is>
      </c>
      <c r="AA146" t="n">
        <v>306</v>
      </c>
      <c r="AB146" t="n">
        <v>262</v>
      </c>
      <c r="AC146" t="n">
        <v>273</v>
      </c>
      <c r="AD146" t="n">
        <v>2</v>
      </c>
      <c r="AE146" t="n">
        <v>2</v>
      </c>
      <c r="AF146" t="n">
        <v>10</v>
      </c>
      <c r="AG146" t="n">
        <v>10</v>
      </c>
      <c r="AH146" t="n">
        <v>3</v>
      </c>
      <c r="AI146" t="n">
        <v>3</v>
      </c>
      <c r="AJ146" t="n">
        <v>4</v>
      </c>
      <c r="AK146" t="n">
        <v>4</v>
      </c>
      <c r="AL146" t="n">
        <v>5</v>
      </c>
      <c r="AM146" t="n">
        <v>5</v>
      </c>
      <c r="AN146" t="n">
        <v>1</v>
      </c>
      <c r="AO146" t="n">
        <v>1</v>
      </c>
      <c r="AP146" t="n">
        <v>0</v>
      </c>
      <c r="AQ146" t="n">
        <v>0</v>
      </c>
      <c r="AR146" t="inlineStr">
        <is>
          <t>No</t>
        </is>
      </c>
      <c r="AS146" t="inlineStr">
        <is>
          <t>Yes</t>
        </is>
      </c>
      <c r="AT146">
        <f>HYPERLINK("http://catalog.hathitrust.org/Record/000907782","HathiTrust Record")</f>
        <v/>
      </c>
      <c r="AU146">
        <f>HYPERLINK("https://creighton-primo.hosted.exlibrisgroup.com/primo-explore/search?tab=default_tab&amp;search_scope=EVERYTHING&amp;vid=01CRU&amp;lang=en_US&amp;offset=0&amp;query=any,contains,991001029029702656","Catalog Record")</f>
        <v/>
      </c>
      <c r="AV146">
        <f>HYPERLINK("http://www.worldcat.org/oclc/15489457","WorldCat Record")</f>
        <v/>
      </c>
      <c r="AW146" t="inlineStr">
        <is>
          <t>54947965:eng</t>
        </is>
      </c>
      <c r="AX146" t="inlineStr">
        <is>
          <t>15489457</t>
        </is>
      </c>
      <c r="AY146" t="inlineStr">
        <is>
          <t>991001029029702656</t>
        </is>
      </c>
      <c r="AZ146" t="inlineStr">
        <is>
          <t>991001029029702656</t>
        </is>
      </c>
      <c r="BA146" t="inlineStr">
        <is>
          <t>2272447720002656</t>
        </is>
      </c>
      <c r="BB146" t="inlineStr">
        <is>
          <t>BOOK</t>
        </is>
      </c>
      <c r="BD146" t="inlineStr">
        <is>
          <t>9781555462895</t>
        </is>
      </c>
      <c r="BE146" t="inlineStr">
        <is>
          <t>32285002099504</t>
        </is>
      </c>
      <c r="BF146" t="inlineStr">
        <is>
          <t>893784761</t>
        </is>
      </c>
    </row>
    <row r="147">
      <c r="A147" t="inlineStr">
        <is>
          <t>No</t>
        </is>
      </c>
      <c r="B147" t="inlineStr">
        <is>
          <t>CURAL</t>
        </is>
      </c>
      <c r="C147" t="inlineStr">
        <is>
          <t>SHELVES</t>
        </is>
      </c>
      <c r="D147" t="inlineStr">
        <is>
          <t>PQ2357 .A7 1969</t>
        </is>
      </c>
      <c r="E147" t="inlineStr">
        <is>
          <t>0                      PQ 2357000A  7           1969</t>
        </is>
      </c>
      <c r="F147" t="inlineStr">
        <is>
          <t>Maupassant criticism in France, 1880-1940; with an inquiry into his present fame and a bibliography.</t>
        </is>
      </c>
      <c r="H147" t="inlineStr">
        <is>
          <t>No</t>
        </is>
      </c>
      <c r="I147" t="inlineStr">
        <is>
          <t>1</t>
        </is>
      </c>
      <c r="J147" t="inlineStr">
        <is>
          <t>No</t>
        </is>
      </c>
      <c r="K147" t="inlineStr">
        <is>
          <t>No</t>
        </is>
      </c>
      <c r="L147" t="inlineStr">
        <is>
          <t>0</t>
        </is>
      </c>
      <c r="M147" t="inlineStr">
        <is>
          <t>Artinian, Artine, 1907-2005.</t>
        </is>
      </c>
      <c r="N147" t="inlineStr">
        <is>
          <t>New York, Russell &amp; Russell [1969, c1941]</t>
        </is>
      </c>
      <c r="O147" t="inlineStr">
        <is>
          <t>1969</t>
        </is>
      </c>
      <c r="Q147" t="inlineStr">
        <is>
          <t>eng</t>
        </is>
      </c>
      <c r="R147" t="inlineStr">
        <is>
          <t>nyu</t>
        </is>
      </c>
      <c r="T147" t="inlineStr">
        <is>
          <t xml:space="preserve">PQ </t>
        </is>
      </c>
      <c r="U147" t="n">
        <v>1</v>
      </c>
      <c r="V147" t="n">
        <v>1</v>
      </c>
      <c r="W147" t="inlineStr">
        <is>
          <t>1997-11-11</t>
        </is>
      </c>
      <c r="X147" t="inlineStr">
        <is>
          <t>1997-11-11</t>
        </is>
      </c>
      <c r="Y147" t="inlineStr">
        <is>
          <t>1997-05-16</t>
        </is>
      </c>
      <c r="Z147" t="inlineStr">
        <is>
          <t>1997-05-16</t>
        </is>
      </c>
      <c r="AA147" t="n">
        <v>302</v>
      </c>
      <c r="AB147" t="n">
        <v>265</v>
      </c>
      <c r="AC147" t="n">
        <v>352</v>
      </c>
      <c r="AD147" t="n">
        <v>2</v>
      </c>
      <c r="AE147" t="n">
        <v>3</v>
      </c>
      <c r="AF147" t="n">
        <v>15</v>
      </c>
      <c r="AG147" t="n">
        <v>16</v>
      </c>
      <c r="AH147" t="n">
        <v>6</v>
      </c>
      <c r="AI147" t="n">
        <v>6</v>
      </c>
      <c r="AJ147" t="n">
        <v>4</v>
      </c>
      <c r="AK147" t="n">
        <v>4</v>
      </c>
      <c r="AL147" t="n">
        <v>7</v>
      </c>
      <c r="AM147" t="n">
        <v>7</v>
      </c>
      <c r="AN147" t="n">
        <v>1</v>
      </c>
      <c r="AO147" t="n">
        <v>2</v>
      </c>
      <c r="AP147" t="n">
        <v>0</v>
      </c>
      <c r="AQ147" t="n">
        <v>0</v>
      </c>
      <c r="AR147" t="inlineStr">
        <is>
          <t>No</t>
        </is>
      </c>
      <c r="AS147" t="inlineStr">
        <is>
          <t>Yes</t>
        </is>
      </c>
      <c r="AT147">
        <f>HYPERLINK("http://catalog.hathitrust.org/Record/008324085","HathiTrust Record")</f>
        <v/>
      </c>
      <c r="AU147">
        <f>HYPERLINK("https://creighton-primo.hosted.exlibrisgroup.com/primo-explore/search?tab=default_tab&amp;search_scope=EVERYTHING&amp;vid=01CRU&amp;lang=en_US&amp;offset=0&amp;query=any,contains,991000077779702656","Catalog Record")</f>
        <v/>
      </c>
      <c r="AV147">
        <f>HYPERLINK("http://www.worldcat.org/oclc/30389","WorldCat Record")</f>
        <v/>
      </c>
      <c r="AW147" t="inlineStr">
        <is>
          <t>5090473152:eng</t>
        </is>
      </c>
      <c r="AX147" t="inlineStr">
        <is>
          <t>30389</t>
        </is>
      </c>
      <c r="AY147" t="inlineStr">
        <is>
          <t>991000077779702656</t>
        </is>
      </c>
      <c r="AZ147" t="inlineStr">
        <is>
          <t>991000077779702656</t>
        </is>
      </c>
      <c r="BA147" t="inlineStr">
        <is>
          <t>2262295320002656</t>
        </is>
      </c>
      <c r="BB147" t="inlineStr">
        <is>
          <t>BOOK</t>
        </is>
      </c>
      <c r="BE147" t="inlineStr">
        <is>
          <t>32285002725538</t>
        </is>
      </c>
      <c r="BF147" t="inlineStr">
        <is>
          <t>893601433</t>
        </is>
      </c>
    </row>
    <row r="148">
      <c r="A148" t="inlineStr">
        <is>
          <t>No</t>
        </is>
      </c>
      <c r="B148" t="inlineStr">
        <is>
          <t>CURAL</t>
        </is>
      </c>
      <c r="C148" t="inlineStr">
        <is>
          <t>SHELVES</t>
        </is>
      </c>
      <c r="D148" t="inlineStr">
        <is>
          <t>PQ2361 .A1 1963</t>
        </is>
      </c>
      <c r="E148" t="inlineStr">
        <is>
          <t>0                      PQ 2361000A  1           1963</t>
        </is>
      </c>
      <c r="F148" t="inlineStr">
        <is>
          <t>Œeuvres complètes / Musset ; texte etabli et presente par Philippe van Tieghem.</t>
        </is>
      </c>
      <c r="H148" t="inlineStr">
        <is>
          <t>No</t>
        </is>
      </c>
      <c r="I148" t="inlineStr">
        <is>
          <t>1</t>
        </is>
      </c>
      <c r="J148" t="inlineStr">
        <is>
          <t>No</t>
        </is>
      </c>
      <c r="K148" t="inlineStr">
        <is>
          <t>No</t>
        </is>
      </c>
      <c r="L148" t="inlineStr">
        <is>
          <t>0</t>
        </is>
      </c>
      <c r="M148" t="inlineStr">
        <is>
          <t>Musset, Alfred de, 1810-1857.</t>
        </is>
      </c>
      <c r="N148" t="inlineStr">
        <is>
          <t>Paris : Éditions du Seuil, c1963.</t>
        </is>
      </c>
      <c r="O148" t="inlineStr">
        <is>
          <t>1963</t>
        </is>
      </c>
      <c r="Q148" t="inlineStr">
        <is>
          <t>fre</t>
        </is>
      </c>
      <c r="R148" t="inlineStr">
        <is>
          <t xml:space="preserve">xx </t>
        </is>
      </c>
      <c r="S148" t="inlineStr">
        <is>
          <t>L'Intégrale</t>
        </is>
      </c>
      <c r="T148" t="inlineStr">
        <is>
          <t xml:space="preserve">PQ </t>
        </is>
      </c>
      <c r="U148" t="n">
        <v>1</v>
      </c>
      <c r="V148" t="n">
        <v>1</v>
      </c>
      <c r="W148" t="inlineStr">
        <is>
          <t>2000-10-05</t>
        </is>
      </c>
      <c r="X148" t="inlineStr">
        <is>
          <t>2000-10-05</t>
        </is>
      </c>
      <c r="Y148" t="inlineStr">
        <is>
          <t>2000-10-05</t>
        </is>
      </c>
      <c r="Z148" t="inlineStr">
        <is>
          <t>2000-10-05</t>
        </is>
      </c>
      <c r="AA148" t="n">
        <v>243</v>
      </c>
      <c r="AB148" t="n">
        <v>162</v>
      </c>
      <c r="AC148" t="n">
        <v>335</v>
      </c>
      <c r="AD148" t="n">
        <v>3</v>
      </c>
      <c r="AE148" t="n">
        <v>4</v>
      </c>
      <c r="AF148" t="n">
        <v>11</v>
      </c>
      <c r="AG148" t="n">
        <v>23</v>
      </c>
      <c r="AH148" t="n">
        <v>6</v>
      </c>
      <c r="AI148" t="n">
        <v>13</v>
      </c>
      <c r="AJ148" t="n">
        <v>3</v>
      </c>
      <c r="AK148" t="n">
        <v>5</v>
      </c>
      <c r="AL148" t="n">
        <v>3</v>
      </c>
      <c r="AM148" t="n">
        <v>9</v>
      </c>
      <c r="AN148" t="n">
        <v>2</v>
      </c>
      <c r="AO148" t="n">
        <v>3</v>
      </c>
      <c r="AP148" t="n">
        <v>0</v>
      </c>
      <c r="AQ148" t="n">
        <v>0</v>
      </c>
      <c r="AR148" t="inlineStr">
        <is>
          <t>No</t>
        </is>
      </c>
      <c r="AS148" t="inlineStr">
        <is>
          <t>Yes</t>
        </is>
      </c>
      <c r="AT148">
        <f>HYPERLINK("http://catalog.hathitrust.org/Record/004457816","HathiTrust Record")</f>
        <v/>
      </c>
      <c r="AU148">
        <f>HYPERLINK("https://creighton-primo.hosted.exlibrisgroup.com/primo-explore/search?tab=default_tab&amp;search_scope=EVERYTHING&amp;vid=01CRU&amp;lang=en_US&amp;offset=0&amp;query=any,contains,991003306739702656","Catalog Record")</f>
        <v/>
      </c>
      <c r="AV148">
        <f>HYPERLINK("http://www.worldcat.org/oclc/341717","WorldCat Record")</f>
        <v/>
      </c>
      <c r="AW148" t="inlineStr">
        <is>
          <t>3372237506:fre</t>
        </is>
      </c>
      <c r="AX148" t="inlineStr">
        <is>
          <t>341717</t>
        </is>
      </c>
      <c r="AY148" t="inlineStr">
        <is>
          <t>991003306739702656</t>
        </is>
      </c>
      <c r="AZ148" t="inlineStr">
        <is>
          <t>991003306739702656</t>
        </is>
      </c>
      <c r="BA148" t="inlineStr">
        <is>
          <t>2265633210002656</t>
        </is>
      </c>
      <c r="BB148" t="inlineStr">
        <is>
          <t>BOOK</t>
        </is>
      </c>
      <c r="BE148" t="inlineStr">
        <is>
          <t>32285003766960</t>
        </is>
      </c>
      <c r="BF148" t="inlineStr">
        <is>
          <t>893258293</t>
        </is>
      </c>
    </row>
    <row r="149">
      <c r="A149" t="inlineStr">
        <is>
          <t>No</t>
        </is>
      </c>
      <c r="B149" t="inlineStr">
        <is>
          <t>CURAL</t>
        </is>
      </c>
      <c r="C149" t="inlineStr">
        <is>
          <t>SHELVES</t>
        </is>
      </c>
      <c r="D149" t="inlineStr">
        <is>
          <t>PQ2362.Z5 L45</t>
        </is>
      </c>
      <c r="E149" t="inlineStr">
        <is>
          <t>0                      PQ 2362000Z  5                  L  45</t>
        </is>
      </c>
      <c r="F149" t="inlineStr">
        <is>
          <t>Mérimée et son temps.</t>
        </is>
      </c>
      <c r="H149" t="inlineStr">
        <is>
          <t>No</t>
        </is>
      </c>
      <c r="I149" t="inlineStr">
        <is>
          <t>1</t>
        </is>
      </c>
      <c r="J149" t="inlineStr">
        <is>
          <t>No</t>
        </is>
      </c>
      <c r="K149" t="inlineStr">
        <is>
          <t>No</t>
        </is>
      </c>
      <c r="L149" t="inlineStr">
        <is>
          <t>0</t>
        </is>
      </c>
      <c r="M149" t="inlineStr">
        <is>
          <t>Léon, Paul, 1874-1962.</t>
        </is>
      </c>
      <c r="N149" t="inlineStr">
        <is>
          <t>Paris : Presses universitaires de France, 1962.</t>
        </is>
      </c>
      <c r="O149" t="inlineStr">
        <is>
          <t>1962</t>
        </is>
      </c>
      <c r="Q149" t="inlineStr">
        <is>
          <t>fre</t>
        </is>
      </c>
      <c r="R149" t="inlineStr">
        <is>
          <t xml:space="preserve">fr </t>
        </is>
      </c>
      <c r="T149" t="inlineStr">
        <is>
          <t xml:space="preserve">PQ </t>
        </is>
      </c>
      <c r="U149" t="n">
        <v>3</v>
      </c>
      <c r="V149" t="n">
        <v>3</v>
      </c>
      <c r="W149" t="inlineStr">
        <is>
          <t>2000-11-08</t>
        </is>
      </c>
      <c r="X149" t="inlineStr">
        <is>
          <t>2000-11-08</t>
        </is>
      </c>
      <c r="Y149" t="inlineStr">
        <is>
          <t>1995-05-18</t>
        </is>
      </c>
      <c r="Z149" t="inlineStr">
        <is>
          <t>1995-05-18</t>
        </is>
      </c>
      <c r="AA149" t="n">
        <v>378</v>
      </c>
      <c r="AB149" t="n">
        <v>235</v>
      </c>
      <c r="AC149" t="n">
        <v>238</v>
      </c>
      <c r="AD149" t="n">
        <v>3</v>
      </c>
      <c r="AE149" t="n">
        <v>3</v>
      </c>
      <c r="AF149" t="n">
        <v>14</v>
      </c>
      <c r="AG149" t="n">
        <v>14</v>
      </c>
      <c r="AH149" t="n">
        <v>4</v>
      </c>
      <c r="AI149" t="n">
        <v>4</v>
      </c>
      <c r="AJ149" t="n">
        <v>4</v>
      </c>
      <c r="AK149" t="n">
        <v>4</v>
      </c>
      <c r="AL149" t="n">
        <v>8</v>
      </c>
      <c r="AM149" t="n">
        <v>8</v>
      </c>
      <c r="AN149" t="n">
        <v>2</v>
      </c>
      <c r="AO149" t="n">
        <v>2</v>
      </c>
      <c r="AP149" t="n">
        <v>0</v>
      </c>
      <c r="AQ149" t="n">
        <v>0</v>
      </c>
      <c r="AR149" t="inlineStr">
        <is>
          <t>No</t>
        </is>
      </c>
      <c r="AS149" t="inlineStr">
        <is>
          <t>Yes</t>
        </is>
      </c>
      <c r="AT149">
        <f>HYPERLINK("http://catalog.hathitrust.org/Record/001225394","HathiTrust Record")</f>
        <v/>
      </c>
      <c r="AU149">
        <f>HYPERLINK("https://creighton-primo.hosted.exlibrisgroup.com/primo-explore/search?tab=default_tab&amp;search_scope=EVERYTHING&amp;vid=01CRU&amp;lang=en_US&amp;offset=0&amp;query=any,contains,991002186609702656","Catalog Record")</f>
        <v/>
      </c>
      <c r="AV149">
        <f>HYPERLINK("http://www.worldcat.org/oclc/280027","WorldCat Record")</f>
        <v/>
      </c>
      <c r="AW149" t="inlineStr">
        <is>
          <t>1425171:fre</t>
        </is>
      </c>
      <c r="AX149" t="inlineStr">
        <is>
          <t>280027</t>
        </is>
      </c>
      <c r="AY149" t="inlineStr">
        <is>
          <t>991002186609702656</t>
        </is>
      </c>
      <c r="AZ149" t="inlineStr">
        <is>
          <t>991002186609702656</t>
        </is>
      </c>
      <c r="BA149" t="inlineStr">
        <is>
          <t>2265297520002656</t>
        </is>
      </c>
      <c r="BB149" t="inlineStr">
        <is>
          <t>BOOK</t>
        </is>
      </c>
      <c r="BE149" t="inlineStr">
        <is>
          <t>32285002034691</t>
        </is>
      </c>
      <c r="BF149" t="inlineStr">
        <is>
          <t>893510404</t>
        </is>
      </c>
    </row>
    <row r="150">
      <c r="A150" t="inlineStr">
        <is>
          <t>No</t>
        </is>
      </c>
      <c r="B150" t="inlineStr">
        <is>
          <t>CURAL</t>
        </is>
      </c>
      <c r="C150" t="inlineStr">
        <is>
          <t>SHELVES</t>
        </is>
      </c>
      <c r="D150" t="inlineStr">
        <is>
          <t>PQ2362.Z5 R3 1970b</t>
        </is>
      </c>
      <c r="E150" t="inlineStr">
        <is>
          <t>0                      PQ 2362000Z  5                  R  3           1970b</t>
        </is>
      </c>
      <c r="F150" t="inlineStr">
        <is>
          <t>Prosper Mérimée / [by] A. W. Raitt.</t>
        </is>
      </c>
      <c r="H150" t="inlineStr">
        <is>
          <t>No</t>
        </is>
      </c>
      <c r="I150" t="inlineStr">
        <is>
          <t>1</t>
        </is>
      </c>
      <c r="J150" t="inlineStr">
        <is>
          <t>No</t>
        </is>
      </c>
      <c r="K150" t="inlineStr">
        <is>
          <t>No</t>
        </is>
      </c>
      <c r="L150" t="inlineStr">
        <is>
          <t>0</t>
        </is>
      </c>
      <c r="M150" t="inlineStr">
        <is>
          <t>Raitt, A. W. (Alan William)</t>
        </is>
      </c>
      <c r="N150" t="inlineStr">
        <is>
          <t>New York : Scribner, [1970]</t>
        </is>
      </c>
      <c r="O150" t="inlineStr">
        <is>
          <t>1970</t>
        </is>
      </c>
      <c r="Q150" t="inlineStr">
        <is>
          <t>eng</t>
        </is>
      </c>
      <c r="R150" t="inlineStr">
        <is>
          <t>nyu</t>
        </is>
      </c>
      <c r="T150" t="inlineStr">
        <is>
          <t xml:space="preserve">PQ </t>
        </is>
      </c>
      <c r="U150" t="n">
        <v>2</v>
      </c>
      <c r="V150" t="n">
        <v>2</v>
      </c>
      <c r="W150" t="inlineStr">
        <is>
          <t>1998-02-23</t>
        </is>
      </c>
      <c r="X150" t="inlineStr">
        <is>
          <t>1998-02-23</t>
        </is>
      </c>
      <c r="Y150" t="inlineStr">
        <is>
          <t>1995-05-18</t>
        </is>
      </c>
      <c r="Z150" t="inlineStr">
        <is>
          <t>1995-05-18</t>
        </is>
      </c>
      <c r="AA150" t="n">
        <v>535</v>
      </c>
      <c r="AB150" t="n">
        <v>513</v>
      </c>
      <c r="AC150" t="n">
        <v>600</v>
      </c>
      <c r="AD150" t="n">
        <v>4</v>
      </c>
      <c r="AE150" t="n">
        <v>4</v>
      </c>
      <c r="AF150" t="n">
        <v>22</v>
      </c>
      <c r="AG150" t="n">
        <v>24</v>
      </c>
      <c r="AH150" t="n">
        <v>9</v>
      </c>
      <c r="AI150" t="n">
        <v>9</v>
      </c>
      <c r="AJ150" t="n">
        <v>5</v>
      </c>
      <c r="AK150" t="n">
        <v>6</v>
      </c>
      <c r="AL150" t="n">
        <v>11</v>
      </c>
      <c r="AM150" t="n">
        <v>13</v>
      </c>
      <c r="AN150" t="n">
        <v>3</v>
      </c>
      <c r="AO150" t="n">
        <v>3</v>
      </c>
      <c r="AP150" t="n">
        <v>0</v>
      </c>
      <c r="AQ150" t="n">
        <v>0</v>
      </c>
      <c r="AR150" t="inlineStr">
        <is>
          <t>No</t>
        </is>
      </c>
      <c r="AS150" t="inlineStr">
        <is>
          <t>No</t>
        </is>
      </c>
      <c r="AU150">
        <f>HYPERLINK("https://creighton-primo.hosted.exlibrisgroup.com/primo-explore/search?tab=default_tab&amp;search_scope=EVERYTHING&amp;vid=01CRU&amp;lang=en_US&amp;offset=0&amp;query=any,contains,991000651639702656","Catalog Record")</f>
        <v/>
      </c>
      <c r="AV150">
        <f>HYPERLINK("http://www.worldcat.org/oclc/113721","WorldCat Record")</f>
        <v/>
      </c>
      <c r="AW150" t="inlineStr">
        <is>
          <t>1229302:eng</t>
        </is>
      </c>
      <c r="AX150" t="inlineStr">
        <is>
          <t>113721</t>
        </is>
      </c>
      <c r="AY150" t="inlineStr">
        <is>
          <t>991000651639702656</t>
        </is>
      </c>
      <c r="AZ150" t="inlineStr">
        <is>
          <t>991000651639702656</t>
        </is>
      </c>
      <c r="BA150" t="inlineStr">
        <is>
          <t>2267684310002656</t>
        </is>
      </c>
      <c r="BB150" t="inlineStr">
        <is>
          <t>BOOK</t>
        </is>
      </c>
      <c r="BE150" t="inlineStr">
        <is>
          <t>32285002034675</t>
        </is>
      </c>
      <c r="BF150" t="inlineStr">
        <is>
          <t>893315125</t>
        </is>
      </c>
    </row>
    <row r="151">
      <c r="A151" t="inlineStr">
        <is>
          <t>No</t>
        </is>
      </c>
      <c r="B151" t="inlineStr">
        <is>
          <t>CURAL</t>
        </is>
      </c>
      <c r="C151" t="inlineStr">
        <is>
          <t>SHELVES</t>
        </is>
      </c>
      <c r="D151" t="inlineStr">
        <is>
          <t>PQ2386.R39 C49</t>
        </is>
      </c>
      <c r="E151" t="inlineStr">
        <is>
          <t>0                      PQ 2386000R  39                 C  49</t>
        </is>
      </c>
      <c r="F151" t="inlineStr">
        <is>
          <t>Ernest Renan, by Richard M. Chadbourne.</t>
        </is>
      </c>
      <c r="H151" t="inlineStr">
        <is>
          <t>No</t>
        </is>
      </c>
      <c r="I151" t="inlineStr">
        <is>
          <t>1</t>
        </is>
      </c>
      <c r="J151" t="inlineStr">
        <is>
          <t>No</t>
        </is>
      </c>
      <c r="K151" t="inlineStr">
        <is>
          <t>No</t>
        </is>
      </c>
      <c r="L151" t="inlineStr">
        <is>
          <t>0</t>
        </is>
      </c>
      <c r="M151" t="inlineStr">
        <is>
          <t>Chadbourne, Richard McClain, 1922-</t>
        </is>
      </c>
      <c r="N151" t="inlineStr">
        <is>
          <t>New York, Twayne Publishers [1968]</t>
        </is>
      </c>
      <c r="O151" t="inlineStr">
        <is>
          <t>1968</t>
        </is>
      </c>
      <c r="Q151" t="inlineStr">
        <is>
          <t>eng</t>
        </is>
      </c>
      <c r="R151" t="inlineStr">
        <is>
          <t>nyu</t>
        </is>
      </c>
      <c r="S151" t="inlineStr">
        <is>
          <t>Twayne's World authors series, TWAS34. France</t>
        </is>
      </c>
      <c r="T151" t="inlineStr">
        <is>
          <t xml:space="preserve">PQ </t>
        </is>
      </c>
      <c r="U151" t="n">
        <v>1</v>
      </c>
      <c r="V151" t="n">
        <v>1</v>
      </c>
      <c r="W151" t="inlineStr">
        <is>
          <t>2006-04-11</t>
        </is>
      </c>
      <c r="X151" t="inlineStr">
        <is>
          <t>2006-04-11</t>
        </is>
      </c>
      <c r="Y151" t="inlineStr">
        <is>
          <t>1997-05-19</t>
        </is>
      </c>
      <c r="Z151" t="inlineStr">
        <is>
          <t>1997-05-19</t>
        </is>
      </c>
      <c r="AA151" t="n">
        <v>664</v>
      </c>
      <c r="AB151" t="n">
        <v>596</v>
      </c>
      <c r="AC151" t="n">
        <v>608</v>
      </c>
      <c r="AD151" t="n">
        <v>7</v>
      </c>
      <c r="AE151" t="n">
        <v>7</v>
      </c>
      <c r="AF151" t="n">
        <v>34</v>
      </c>
      <c r="AG151" t="n">
        <v>35</v>
      </c>
      <c r="AH151" t="n">
        <v>11</v>
      </c>
      <c r="AI151" t="n">
        <v>11</v>
      </c>
      <c r="AJ151" t="n">
        <v>7</v>
      </c>
      <c r="AK151" t="n">
        <v>8</v>
      </c>
      <c r="AL151" t="n">
        <v>20</v>
      </c>
      <c r="AM151" t="n">
        <v>21</v>
      </c>
      <c r="AN151" t="n">
        <v>5</v>
      </c>
      <c r="AO151" t="n">
        <v>5</v>
      </c>
      <c r="AP151" t="n">
        <v>0</v>
      </c>
      <c r="AQ151" t="n">
        <v>0</v>
      </c>
      <c r="AR151" t="inlineStr">
        <is>
          <t>No</t>
        </is>
      </c>
      <c r="AS151" t="inlineStr">
        <is>
          <t>Yes</t>
        </is>
      </c>
      <c r="AT151">
        <f>HYPERLINK("http://catalog.hathitrust.org/Record/001215305","HathiTrust Record")</f>
        <v/>
      </c>
      <c r="AU151">
        <f>HYPERLINK("https://creighton-primo.hosted.exlibrisgroup.com/primo-explore/search?tab=default_tab&amp;search_scope=EVERYTHING&amp;vid=01CRU&amp;lang=en_US&amp;offset=0&amp;query=any,contains,991002410189702656","Catalog Record")</f>
        <v/>
      </c>
      <c r="AV151">
        <f>HYPERLINK("http://www.worldcat.org/oclc/339276","WorldCat Record")</f>
        <v/>
      </c>
      <c r="AW151" t="inlineStr">
        <is>
          <t>1467830:eng</t>
        </is>
      </c>
      <c r="AX151" t="inlineStr">
        <is>
          <t>339276</t>
        </is>
      </c>
      <c r="AY151" t="inlineStr">
        <is>
          <t>991002410189702656</t>
        </is>
      </c>
      <c r="AZ151" t="inlineStr">
        <is>
          <t>991002410189702656</t>
        </is>
      </c>
      <c r="BA151" t="inlineStr">
        <is>
          <t>2259071670002656</t>
        </is>
      </c>
      <c r="BB151" t="inlineStr">
        <is>
          <t>BOOK</t>
        </is>
      </c>
      <c r="BE151" t="inlineStr">
        <is>
          <t>32285002725884</t>
        </is>
      </c>
      <c r="BF151" t="inlineStr">
        <is>
          <t>893792431</t>
        </is>
      </c>
    </row>
    <row r="152">
      <c r="A152" t="inlineStr">
        <is>
          <t>No</t>
        </is>
      </c>
      <c r="B152" t="inlineStr">
        <is>
          <t>CURAL</t>
        </is>
      </c>
      <c r="C152" t="inlineStr">
        <is>
          <t>SHELVES</t>
        </is>
      </c>
      <c r="D152" t="inlineStr">
        <is>
          <t>PQ2387.R5 Z558713</t>
        </is>
      </c>
      <c r="E152" t="inlineStr">
        <is>
          <t>0                      PQ 2387000R  5                  Z  558713</t>
        </is>
      </c>
      <c r="F152" t="inlineStr">
        <is>
          <t>Rimbaud / translated by Paul Schmidt.</t>
        </is>
      </c>
      <c r="H152" t="inlineStr">
        <is>
          <t>No</t>
        </is>
      </c>
      <c r="I152" t="inlineStr">
        <is>
          <t>1</t>
        </is>
      </c>
      <c r="J152" t="inlineStr">
        <is>
          <t>No</t>
        </is>
      </c>
      <c r="K152" t="inlineStr">
        <is>
          <t>No</t>
        </is>
      </c>
      <c r="L152" t="inlineStr">
        <is>
          <t>0</t>
        </is>
      </c>
      <c r="M152" t="inlineStr">
        <is>
          <t>Bonnefoy, Yves.</t>
        </is>
      </c>
      <c r="N152" t="inlineStr">
        <is>
          <t>New York : Harper &amp; Row, [1973]</t>
        </is>
      </c>
      <c r="O152" t="inlineStr">
        <is>
          <t>1973</t>
        </is>
      </c>
      <c r="P152" t="inlineStr">
        <is>
          <t>[1st ed.]</t>
        </is>
      </c>
      <c r="Q152" t="inlineStr">
        <is>
          <t>eng</t>
        </is>
      </c>
      <c r="R152" t="inlineStr">
        <is>
          <t>nyu</t>
        </is>
      </c>
      <c r="S152" t="inlineStr">
        <is>
          <t>Harper colophon books ; CN 297</t>
        </is>
      </c>
      <c r="T152" t="inlineStr">
        <is>
          <t xml:space="preserve">PQ </t>
        </is>
      </c>
      <c r="U152" t="n">
        <v>5</v>
      </c>
      <c r="V152" t="n">
        <v>5</v>
      </c>
      <c r="W152" t="inlineStr">
        <is>
          <t>2003-08-15</t>
        </is>
      </c>
      <c r="X152" t="inlineStr">
        <is>
          <t>2003-08-15</t>
        </is>
      </c>
      <c r="Y152" t="inlineStr">
        <is>
          <t>1992-12-09</t>
        </is>
      </c>
      <c r="Z152" t="inlineStr">
        <is>
          <t>1992-12-09</t>
        </is>
      </c>
      <c r="AA152" t="n">
        <v>349</v>
      </c>
      <c r="AB152" t="n">
        <v>314</v>
      </c>
      <c r="AC152" t="n">
        <v>317</v>
      </c>
      <c r="AD152" t="n">
        <v>3</v>
      </c>
      <c r="AE152" t="n">
        <v>3</v>
      </c>
      <c r="AF152" t="n">
        <v>10</v>
      </c>
      <c r="AG152" t="n">
        <v>10</v>
      </c>
      <c r="AH152" t="n">
        <v>1</v>
      </c>
      <c r="AI152" t="n">
        <v>1</v>
      </c>
      <c r="AJ152" t="n">
        <v>5</v>
      </c>
      <c r="AK152" t="n">
        <v>5</v>
      </c>
      <c r="AL152" t="n">
        <v>4</v>
      </c>
      <c r="AM152" t="n">
        <v>4</v>
      </c>
      <c r="AN152" t="n">
        <v>2</v>
      </c>
      <c r="AO152" t="n">
        <v>2</v>
      </c>
      <c r="AP152" t="n">
        <v>0</v>
      </c>
      <c r="AQ152" t="n">
        <v>0</v>
      </c>
      <c r="AR152" t="inlineStr">
        <is>
          <t>No</t>
        </is>
      </c>
      <c r="AS152" t="inlineStr">
        <is>
          <t>Yes</t>
        </is>
      </c>
      <c r="AT152">
        <f>HYPERLINK("http://catalog.hathitrust.org/Record/001215432","HathiTrust Record")</f>
        <v/>
      </c>
      <c r="AU152">
        <f>HYPERLINK("https://creighton-primo.hosted.exlibrisgroup.com/primo-explore/search?tab=default_tab&amp;search_scope=EVERYTHING&amp;vid=01CRU&amp;lang=en_US&amp;offset=0&amp;query=any,contains,991003199319702656","Catalog Record")</f>
        <v/>
      </c>
      <c r="AV152">
        <f>HYPERLINK("http://www.worldcat.org/oclc/724026","WorldCat Record")</f>
        <v/>
      </c>
      <c r="AW152" t="inlineStr">
        <is>
          <t>4928453068:eng</t>
        </is>
      </c>
      <c r="AX152" t="inlineStr">
        <is>
          <t>724026</t>
        </is>
      </c>
      <c r="AY152" t="inlineStr">
        <is>
          <t>991003199319702656</t>
        </is>
      </c>
      <c r="AZ152" t="inlineStr">
        <is>
          <t>991003199319702656</t>
        </is>
      </c>
      <c r="BA152" t="inlineStr">
        <is>
          <t>2254798930002656</t>
        </is>
      </c>
      <c r="BB152" t="inlineStr">
        <is>
          <t>BOOK</t>
        </is>
      </c>
      <c r="BD152" t="inlineStr">
        <is>
          <t>9780060902971</t>
        </is>
      </c>
      <c r="BE152" t="inlineStr">
        <is>
          <t>32285001413730</t>
        </is>
      </c>
      <c r="BF152" t="inlineStr">
        <is>
          <t>893704998</t>
        </is>
      </c>
    </row>
    <row r="153">
      <c r="A153" t="inlineStr">
        <is>
          <t>No</t>
        </is>
      </c>
      <c r="B153" t="inlineStr">
        <is>
          <t>CURAL</t>
        </is>
      </c>
      <c r="C153" t="inlineStr">
        <is>
          <t>SHELVES</t>
        </is>
      </c>
      <c r="D153" t="inlineStr">
        <is>
          <t>PQ2387.R5 Z692 1977</t>
        </is>
      </c>
      <c r="E153" t="inlineStr">
        <is>
          <t>0                      PQ 2387000R  5                  Z  692         1977</t>
        </is>
      </c>
      <c r="F153" t="inlineStr">
        <is>
          <t>The design of Rimbaud's poetry / John Porter Houston.</t>
        </is>
      </c>
      <c r="H153" t="inlineStr">
        <is>
          <t>No</t>
        </is>
      </c>
      <c r="I153" t="inlineStr">
        <is>
          <t>1</t>
        </is>
      </c>
      <c r="J153" t="inlineStr">
        <is>
          <t>No</t>
        </is>
      </c>
      <c r="K153" t="inlineStr">
        <is>
          <t>No</t>
        </is>
      </c>
      <c r="L153" t="inlineStr">
        <is>
          <t>0</t>
        </is>
      </c>
      <c r="M153" t="inlineStr">
        <is>
          <t>Houston, John Porter.</t>
        </is>
      </c>
      <c r="N153" t="inlineStr">
        <is>
          <t>Westport, Conn. : Greenwood Press, 1977, c1963.</t>
        </is>
      </c>
      <c r="O153" t="inlineStr">
        <is>
          <t>1977</t>
        </is>
      </c>
      <c r="Q153" t="inlineStr">
        <is>
          <t>eng</t>
        </is>
      </c>
      <c r="R153" t="inlineStr">
        <is>
          <t>ctu</t>
        </is>
      </c>
      <c r="T153" t="inlineStr">
        <is>
          <t xml:space="preserve">PQ </t>
        </is>
      </c>
      <c r="U153" t="n">
        <v>4</v>
      </c>
      <c r="V153" t="n">
        <v>4</v>
      </c>
      <c r="W153" t="inlineStr">
        <is>
          <t>2003-08-15</t>
        </is>
      </c>
      <c r="X153" t="inlineStr">
        <is>
          <t>2003-08-15</t>
        </is>
      </c>
      <c r="Y153" t="inlineStr">
        <is>
          <t>1992-12-09</t>
        </is>
      </c>
      <c r="Z153" t="inlineStr">
        <is>
          <t>1992-12-09</t>
        </is>
      </c>
      <c r="AA153" t="n">
        <v>71</v>
      </c>
      <c r="AB153" t="n">
        <v>58</v>
      </c>
      <c r="AC153" t="n">
        <v>521</v>
      </c>
      <c r="AD153" t="n">
        <v>2</v>
      </c>
      <c r="AE153" t="n">
        <v>3</v>
      </c>
      <c r="AF153" t="n">
        <v>2</v>
      </c>
      <c r="AG153" t="n">
        <v>23</v>
      </c>
      <c r="AH153" t="n">
        <v>1</v>
      </c>
      <c r="AI153" t="n">
        <v>10</v>
      </c>
      <c r="AJ153" t="n">
        <v>1</v>
      </c>
      <c r="AK153" t="n">
        <v>6</v>
      </c>
      <c r="AL153" t="n">
        <v>0</v>
      </c>
      <c r="AM153" t="n">
        <v>12</v>
      </c>
      <c r="AN153" t="n">
        <v>1</v>
      </c>
      <c r="AO153" t="n">
        <v>2</v>
      </c>
      <c r="AP153" t="n">
        <v>0</v>
      </c>
      <c r="AQ153" t="n">
        <v>0</v>
      </c>
      <c r="AR153" t="inlineStr">
        <is>
          <t>No</t>
        </is>
      </c>
      <c r="AS153" t="inlineStr">
        <is>
          <t>Yes</t>
        </is>
      </c>
      <c r="AT153">
        <f>HYPERLINK("http://catalog.hathitrust.org/Record/007116123","HathiTrust Record")</f>
        <v/>
      </c>
      <c r="AU153">
        <f>HYPERLINK("https://creighton-primo.hosted.exlibrisgroup.com/primo-explore/search?tab=default_tab&amp;search_scope=EVERYTHING&amp;vid=01CRU&amp;lang=en_US&amp;offset=0&amp;query=any,contains,991004296839702656","Catalog Record")</f>
        <v/>
      </c>
      <c r="AV153">
        <f>HYPERLINK("http://www.worldcat.org/oclc/2965611","WorldCat Record")</f>
        <v/>
      </c>
      <c r="AW153" t="inlineStr">
        <is>
          <t>1467813:eng</t>
        </is>
      </c>
      <c r="AX153" t="inlineStr">
        <is>
          <t>2965611</t>
        </is>
      </c>
      <c r="AY153" t="inlineStr">
        <is>
          <t>991004296839702656</t>
        </is>
      </c>
      <c r="AZ153" t="inlineStr">
        <is>
          <t>991004296839702656</t>
        </is>
      </c>
      <c r="BA153" t="inlineStr">
        <is>
          <t>2270316490002656</t>
        </is>
      </c>
      <c r="BB153" t="inlineStr">
        <is>
          <t>BOOK</t>
        </is>
      </c>
      <c r="BD153" t="inlineStr">
        <is>
          <t>9780837196619</t>
        </is>
      </c>
      <c r="BE153" t="inlineStr">
        <is>
          <t>32285001413722</t>
        </is>
      </c>
      <c r="BF153" t="inlineStr">
        <is>
          <t>893700069</t>
        </is>
      </c>
    </row>
    <row r="154">
      <c r="A154" t="inlineStr">
        <is>
          <t>No</t>
        </is>
      </c>
      <c r="B154" t="inlineStr">
        <is>
          <t>CURAL</t>
        </is>
      </c>
      <c r="C154" t="inlineStr">
        <is>
          <t>SHELVES</t>
        </is>
      </c>
      <c r="D154" t="inlineStr">
        <is>
          <t>PQ2387.R5 Z87</t>
        </is>
      </c>
      <c r="E154" t="inlineStr">
        <is>
          <t>0                      PQ 2387000R  5                  Z  87</t>
        </is>
      </c>
      <c r="F154" t="inlineStr">
        <is>
          <t>Arthur Rimbaud / by F. C. St. Aubyn.</t>
        </is>
      </c>
      <c r="H154" t="inlineStr">
        <is>
          <t>No</t>
        </is>
      </c>
      <c r="I154" t="inlineStr">
        <is>
          <t>1</t>
        </is>
      </c>
      <c r="J154" t="inlineStr">
        <is>
          <t>No</t>
        </is>
      </c>
      <c r="K154" t="inlineStr">
        <is>
          <t>No</t>
        </is>
      </c>
      <c r="L154" t="inlineStr">
        <is>
          <t>0</t>
        </is>
      </c>
      <c r="M154" t="inlineStr">
        <is>
          <t>St. Aubyn, Frederic C. (Frederic Chase), 1921-</t>
        </is>
      </c>
      <c r="N154" t="inlineStr">
        <is>
          <t>Boston : Twayne Publishers, c1975.</t>
        </is>
      </c>
      <c r="O154" t="inlineStr">
        <is>
          <t>1975</t>
        </is>
      </c>
      <c r="Q154" t="inlineStr">
        <is>
          <t>eng</t>
        </is>
      </c>
      <c r="R154" t="inlineStr">
        <is>
          <t>mau</t>
        </is>
      </c>
      <c r="S154" t="inlineStr">
        <is>
          <t>Twayne's world authors series ; TWAS 369 : France</t>
        </is>
      </c>
      <c r="T154" t="inlineStr">
        <is>
          <t xml:space="preserve">PQ </t>
        </is>
      </c>
      <c r="U154" t="n">
        <v>5</v>
      </c>
      <c r="V154" t="n">
        <v>5</v>
      </c>
      <c r="W154" t="inlineStr">
        <is>
          <t>1995-06-30</t>
        </is>
      </c>
      <c r="X154" t="inlineStr">
        <is>
          <t>1995-06-30</t>
        </is>
      </c>
      <c r="Y154" t="inlineStr">
        <is>
          <t>1990-05-22</t>
        </is>
      </c>
      <c r="Z154" t="inlineStr">
        <is>
          <t>1990-05-22</t>
        </is>
      </c>
      <c r="AA154" t="n">
        <v>681</v>
      </c>
      <c r="AB154" t="n">
        <v>594</v>
      </c>
      <c r="AC154" t="n">
        <v>864</v>
      </c>
      <c r="AD154" t="n">
        <v>4</v>
      </c>
      <c r="AE154" t="n">
        <v>4</v>
      </c>
      <c r="AF154" t="n">
        <v>25</v>
      </c>
      <c r="AG154" t="n">
        <v>36</v>
      </c>
      <c r="AH154" t="n">
        <v>10</v>
      </c>
      <c r="AI154" t="n">
        <v>17</v>
      </c>
      <c r="AJ154" t="n">
        <v>6</v>
      </c>
      <c r="AK154" t="n">
        <v>7</v>
      </c>
      <c r="AL154" t="n">
        <v>12</v>
      </c>
      <c r="AM154" t="n">
        <v>19</v>
      </c>
      <c r="AN154" t="n">
        <v>3</v>
      </c>
      <c r="AO154" t="n">
        <v>3</v>
      </c>
      <c r="AP154" t="n">
        <v>0</v>
      </c>
      <c r="AQ154" t="n">
        <v>0</v>
      </c>
      <c r="AR154" t="inlineStr">
        <is>
          <t>No</t>
        </is>
      </c>
      <c r="AS154" t="inlineStr">
        <is>
          <t>Yes</t>
        </is>
      </c>
      <c r="AT154">
        <f>HYPERLINK("http://catalog.hathitrust.org/Record/000017602","HathiTrust Record")</f>
        <v/>
      </c>
      <c r="AU154">
        <f>HYPERLINK("https://creighton-primo.hosted.exlibrisgroup.com/primo-explore/search?tab=default_tab&amp;search_scope=EVERYTHING&amp;vid=01CRU&amp;lang=en_US&amp;offset=0&amp;query=any,contains,991003719489702656","Catalog Record")</f>
        <v/>
      </c>
      <c r="AV154">
        <f>HYPERLINK("http://www.worldcat.org/oclc/1365170","WorldCat Record")</f>
        <v/>
      </c>
      <c r="AW154" t="inlineStr">
        <is>
          <t>2271980:eng</t>
        </is>
      </c>
      <c r="AX154" t="inlineStr">
        <is>
          <t>1365170</t>
        </is>
      </c>
      <c r="AY154" t="inlineStr">
        <is>
          <t>991003719489702656</t>
        </is>
      </c>
      <c r="AZ154" t="inlineStr">
        <is>
          <t>991003719489702656</t>
        </is>
      </c>
      <c r="BA154" t="inlineStr">
        <is>
          <t>2256120640002656</t>
        </is>
      </c>
      <c r="BB154" t="inlineStr">
        <is>
          <t>BOOK</t>
        </is>
      </c>
      <c r="BD154" t="inlineStr">
        <is>
          <t>9780805761924</t>
        </is>
      </c>
      <c r="BE154" t="inlineStr">
        <is>
          <t>32285000157536</t>
        </is>
      </c>
      <c r="BF154" t="inlineStr">
        <is>
          <t>893422866</t>
        </is>
      </c>
    </row>
    <row r="155">
      <c r="A155" t="inlineStr">
        <is>
          <t>No</t>
        </is>
      </c>
      <c r="B155" t="inlineStr">
        <is>
          <t>CURAL</t>
        </is>
      </c>
      <c r="C155" t="inlineStr">
        <is>
          <t>SHELVES</t>
        </is>
      </c>
      <c r="D155" t="inlineStr">
        <is>
          <t>PQ241 .A28</t>
        </is>
      </c>
      <c r="E155" t="inlineStr">
        <is>
          <t>0                      PQ 0241000A  28</t>
        </is>
      </c>
      <c r="F155" t="inlineStr">
        <is>
          <t>L'Age classique.</t>
        </is>
      </c>
      <c r="G155" t="inlineStr">
        <is>
          <t>V. 1</t>
        </is>
      </c>
      <c r="H155" t="inlineStr">
        <is>
          <t>Yes</t>
        </is>
      </c>
      <c r="I155" t="inlineStr">
        <is>
          <t>1</t>
        </is>
      </c>
      <c r="J155" t="inlineStr">
        <is>
          <t>No</t>
        </is>
      </c>
      <c r="K155" t="inlineStr">
        <is>
          <t>No</t>
        </is>
      </c>
      <c r="L155" t="inlineStr">
        <is>
          <t>0</t>
        </is>
      </c>
      <c r="M155" t="inlineStr">
        <is>
          <t>Adam, Antoine.</t>
        </is>
      </c>
      <c r="N155" t="inlineStr">
        <is>
          <t>Paris : Arthaud, 1968-71.</t>
        </is>
      </c>
      <c r="O155" t="inlineStr">
        <is>
          <t>1968</t>
        </is>
      </c>
      <c r="Q155" t="inlineStr">
        <is>
          <t>fre</t>
        </is>
      </c>
      <c r="R155" t="inlineStr">
        <is>
          <t xml:space="preserve">fr </t>
        </is>
      </c>
      <c r="S155" t="inlineStr">
        <is>
          <t>Littérature française, 6-8</t>
        </is>
      </c>
      <c r="T155" t="inlineStr">
        <is>
          <t xml:space="preserve">PQ </t>
        </is>
      </c>
      <c r="U155" t="n">
        <v>2</v>
      </c>
      <c r="V155" t="n">
        <v>2</v>
      </c>
      <c r="W155" t="inlineStr">
        <is>
          <t>1992-11-24</t>
        </is>
      </c>
      <c r="X155" t="inlineStr">
        <is>
          <t>1992-11-24</t>
        </is>
      </c>
      <c r="Y155" t="inlineStr">
        <is>
          <t>1992-05-14</t>
        </is>
      </c>
      <c r="Z155" t="inlineStr">
        <is>
          <t>1992-05-14</t>
        </is>
      </c>
      <c r="AA155" t="n">
        <v>357</v>
      </c>
      <c r="AB155" t="n">
        <v>270</v>
      </c>
      <c r="AC155" t="n">
        <v>282</v>
      </c>
      <c r="AD155" t="n">
        <v>3</v>
      </c>
      <c r="AE155" t="n">
        <v>3</v>
      </c>
      <c r="AF155" t="n">
        <v>15</v>
      </c>
      <c r="AG155" t="n">
        <v>15</v>
      </c>
      <c r="AH155" t="n">
        <v>4</v>
      </c>
      <c r="AI155" t="n">
        <v>4</v>
      </c>
      <c r="AJ155" t="n">
        <v>5</v>
      </c>
      <c r="AK155" t="n">
        <v>5</v>
      </c>
      <c r="AL155" t="n">
        <v>8</v>
      </c>
      <c r="AM155" t="n">
        <v>8</v>
      </c>
      <c r="AN155" t="n">
        <v>2</v>
      </c>
      <c r="AO155" t="n">
        <v>2</v>
      </c>
      <c r="AP155" t="n">
        <v>0</v>
      </c>
      <c r="AQ155" t="n">
        <v>0</v>
      </c>
      <c r="AR155" t="inlineStr">
        <is>
          <t>No</t>
        </is>
      </c>
      <c r="AS155" t="inlineStr">
        <is>
          <t>Yes</t>
        </is>
      </c>
      <c r="AT155">
        <f>HYPERLINK("http://catalog.hathitrust.org/Record/006548811","HathiTrust Record")</f>
        <v/>
      </c>
      <c r="AU155">
        <f>HYPERLINK("https://creighton-primo.hosted.exlibrisgroup.com/primo-explore/search?tab=default_tab&amp;search_scope=EVERYTHING&amp;vid=01CRU&amp;lang=en_US&amp;offset=0&amp;query=any,contains,991003047239702656","Catalog Record")</f>
        <v/>
      </c>
      <c r="AV155">
        <f>HYPERLINK("http://www.worldcat.org/oclc/607802","WorldCat Record")</f>
        <v/>
      </c>
      <c r="AW155" t="inlineStr">
        <is>
          <t>3372623361:fre</t>
        </is>
      </c>
      <c r="AX155" t="inlineStr">
        <is>
          <t>607802</t>
        </is>
      </c>
      <c r="AY155" t="inlineStr">
        <is>
          <t>991003047239702656</t>
        </is>
      </c>
      <c r="AZ155" t="inlineStr">
        <is>
          <t>991003047239702656</t>
        </is>
      </c>
      <c r="BA155" t="inlineStr">
        <is>
          <t>2262048410002656</t>
        </is>
      </c>
      <c r="BB155" t="inlineStr">
        <is>
          <t>BOOK</t>
        </is>
      </c>
      <c r="BE155" t="inlineStr">
        <is>
          <t>32285001109429</t>
        </is>
      </c>
      <c r="BF155" t="inlineStr">
        <is>
          <t>893440877</t>
        </is>
      </c>
    </row>
    <row r="156">
      <c r="A156" t="inlineStr">
        <is>
          <t>No</t>
        </is>
      </c>
      <c r="B156" t="inlineStr">
        <is>
          <t>CURAL</t>
        </is>
      </c>
      <c r="C156" t="inlineStr">
        <is>
          <t>SHELVES</t>
        </is>
      </c>
      <c r="D156" t="inlineStr">
        <is>
          <t>PQ241 .H4</t>
        </is>
      </c>
      <c r="E156" t="inlineStr">
        <is>
          <t>0                      PQ 0241000H  4</t>
        </is>
      </c>
      <c r="F156" t="inlineStr">
        <is>
          <t>Courrier littéraire, XVIIe siècle.</t>
        </is>
      </c>
      <c r="G156" t="inlineStr">
        <is>
          <t>V. 1</t>
        </is>
      </c>
      <c r="H156" t="inlineStr">
        <is>
          <t>Yes</t>
        </is>
      </c>
      <c r="I156" t="inlineStr">
        <is>
          <t>1</t>
        </is>
      </c>
      <c r="J156" t="inlineStr">
        <is>
          <t>No</t>
        </is>
      </c>
      <c r="K156" t="inlineStr">
        <is>
          <t>No</t>
        </is>
      </c>
      <c r="L156" t="inlineStr">
        <is>
          <t>0</t>
        </is>
      </c>
      <c r="M156" t="inlineStr">
        <is>
          <t>Henriot, Emile, 1889-1961.</t>
        </is>
      </c>
      <c r="N156" t="inlineStr">
        <is>
          <t>Paris : A. Michel, 1958-59.</t>
        </is>
      </c>
      <c r="O156" t="inlineStr">
        <is>
          <t>1958</t>
        </is>
      </c>
      <c r="P156" t="inlineStr">
        <is>
          <t>Nouv. éd., augm.</t>
        </is>
      </c>
      <c r="Q156" t="inlineStr">
        <is>
          <t>fre</t>
        </is>
      </c>
      <c r="R156" t="inlineStr">
        <is>
          <t xml:space="preserve">fr </t>
        </is>
      </c>
      <c r="T156" t="inlineStr">
        <is>
          <t xml:space="preserve">PQ </t>
        </is>
      </c>
      <c r="U156" t="n">
        <v>0</v>
      </c>
      <c r="V156" t="n">
        <v>2</v>
      </c>
      <c r="X156" t="inlineStr">
        <is>
          <t>1993-03-18</t>
        </is>
      </c>
      <c r="Y156" t="inlineStr">
        <is>
          <t>1995-08-28</t>
        </is>
      </c>
      <c r="Z156" t="inlineStr">
        <is>
          <t>1995-08-28</t>
        </is>
      </c>
      <c r="AA156" t="n">
        <v>225</v>
      </c>
      <c r="AB156" t="n">
        <v>164</v>
      </c>
      <c r="AC156" t="n">
        <v>172</v>
      </c>
      <c r="AD156" t="n">
        <v>3</v>
      </c>
      <c r="AE156" t="n">
        <v>3</v>
      </c>
      <c r="AF156" t="n">
        <v>10</v>
      </c>
      <c r="AG156" t="n">
        <v>10</v>
      </c>
      <c r="AH156" t="n">
        <v>1</v>
      </c>
      <c r="AI156" t="n">
        <v>1</v>
      </c>
      <c r="AJ156" t="n">
        <v>4</v>
      </c>
      <c r="AK156" t="n">
        <v>4</v>
      </c>
      <c r="AL156" t="n">
        <v>5</v>
      </c>
      <c r="AM156" t="n">
        <v>5</v>
      </c>
      <c r="AN156" t="n">
        <v>2</v>
      </c>
      <c r="AO156" t="n">
        <v>2</v>
      </c>
      <c r="AP156" t="n">
        <v>0</v>
      </c>
      <c r="AQ156" t="n">
        <v>0</v>
      </c>
      <c r="AR156" t="inlineStr">
        <is>
          <t>No</t>
        </is>
      </c>
      <c r="AS156" t="inlineStr">
        <is>
          <t>Yes</t>
        </is>
      </c>
      <c r="AT156">
        <f>HYPERLINK("http://catalog.hathitrust.org/Record/001790457","HathiTrust Record")</f>
        <v/>
      </c>
      <c r="AU156">
        <f>HYPERLINK("https://creighton-primo.hosted.exlibrisgroup.com/primo-explore/search?tab=default_tab&amp;search_scope=EVERYTHING&amp;vid=01CRU&amp;lang=en_US&amp;offset=0&amp;query=any,contains,991003356849702656","Catalog Record")</f>
        <v/>
      </c>
      <c r="AV156">
        <f>HYPERLINK("http://www.worldcat.org/oclc/890672","WorldCat Record")</f>
        <v/>
      </c>
      <c r="AW156" t="inlineStr">
        <is>
          <t>3314636342:fre</t>
        </is>
      </c>
      <c r="AX156" t="inlineStr">
        <is>
          <t>890672</t>
        </is>
      </c>
      <c r="AY156" t="inlineStr">
        <is>
          <t>991003356849702656</t>
        </is>
      </c>
      <c r="AZ156" t="inlineStr">
        <is>
          <t>991003356849702656</t>
        </is>
      </c>
      <c r="BA156" t="inlineStr">
        <is>
          <t>2262383950002656</t>
        </is>
      </c>
      <c r="BB156" t="inlineStr">
        <is>
          <t>BOOK</t>
        </is>
      </c>
      <c r="BE156" t="inlineStr">
        <is>
          <t>32285002023314</t>
        </is>
      </c>
      <c r="BF156" t="inlineStr">
        <is>
          <t>893698949</t>
        </is>
      </c>
    </row>
    <row r="157">
      <c r="A157" t="inlineStr">
        <is>
          <t>No</t>
        </is>
      </c>
      <c r="B157" t="inlineStr">
        <is>
          <t>CURAL</t>
        </is>
      </c>
      <c r="C157" t="inlineStr">
        <is>
          <t>SHELVES</t>
        </is>
      </c>
      <c r="D157" t="inlineStr">
        <is>
          <t>PQ241 .H4</t>
        </is>
      </c>
      <c r="E157" t="inlineStr">
        <is>
          <t>0                      PQ 0241000H  4</t>
        </is>
      </c>
      <c r="F157" t="inlineStr">
        <is>
          <t>Courrier littéraire, XVIIe siècle.</t>
        </is>
      </c>
      <c r="G157" t="inlineStr">
        <is>
          <t>V. 2</t>
        </is>
      </c>
      <c r="H157" t="inlineStr">
        <is>
          <t>Yes</t>
        </is>
      </c>
      <c r="I157" t="inlineStr">
        <is>
          <t>1</t>
        </is>
      </c>
      <c r="J157" t="inlineStr">
        <is>
          <t>No</t>
        </is>
      </c>
      <c r="K157" t="inlineStr">
        <is>
          <t>No</t>
        </is>
      </c>
      <c r="L157" t="inlineStr">
        <is>
          <t>0</t>
        </is>
      </c>
      <c r="M157" t="inlineStr">
        <is>
          <t>Henriot, Emile, 1889-1961.</t>
        </is>
      </c>
      <c r="N157" t="inlineStr">
        <is>
          <t>Paris : A. Michel, 1958-59.</t>
        </is>
      </c>
      <c r="O157" t="inlineStr">
        <is>
          <t>1958</t>
        </is>
      </c>
      <c r="P157" t="inlineStr">
        <is>
          <t>Nouv. éd., augm.</t>
        </is>
      </c>
      <c r="Q157" t="inlineStr">
        <is>
          <t>fre</t>
        </is>
      </c>
      <c r="R157" t="inlineStr">
        <is>
          <t xml:space="preserve">fr </t>
        </is>
      </c>
      <c r="T157" t="inlineStr">
        <is>
          <t xml:space="preserve">PQ </t>
        </is>
      </c>
      <c r="U157" t="n">
        <v>2</v>
      </c>
      <c r="V157" t="n">
        <v>2</v>
      </c>
      <c r="W157" t="inlineStr">
        <is>
          <t>1993-03-18</t>
        </is>
      </c>
      <c r="X157" t="inlineStr">
        <is>
          <t>1993-03-18</t>
        </is>
      </c>
      <c r="Y157" t="inlineStr">
        <is>
          <t>1993-01-28</t>
        </is>
      </c>
      <c r="Z157" t="inlineStr">
        <is>
          <t>1995-08-28</t>
        </is>
      </c>
      <c r="AA157" t="n">
        <v>225</v>
      </c>
      <c r="AB157" t="n">
        <v>164</v>
      </c>
      <c r="AC157" t="n">
        <v>172</v>
      </c>
      <c r="AD157" t="n">
        <v>3</v>
      </c>
      <c r="AE157" t="n">
        <v>3</v>
      </c>
      <c r="AF157" t="n">
        <v>10</v>
      </c>
      <c r="AG157" t="n">
        <v>10</v>
      </c>
      <c r="AH157" t="n">
        <v>1</v>
      </c>
      <c r="AI157" t="n">
        <v>1</v>
      </c>
      <c r="AJ157" t="n">
        <v>4</v>
      </c>
      <c r="AK157" t="n">
        <v>4</v>
      </c>
      <c r="AL157" t="n">
        <v>5</v>
      </c>
      <c r="AM157" t="n">
        <v>5</v>
      </c>
      <c r="AN157" t="n">
        <v>2</v>
      </c>
      <c r="AO157" t="n">
        <v>2</v>
      </c>
      <c r="AP157" t="n">
        <v>0</v>
      </c>
      <c r="AQ157" t="n">
        <v>0</v>
      </c>
      <c r="AR157" t="inlineStr">
        <is>
          <t>No</t>
        </is>
      </c>
      <c r="AS157" t="inlineStr">
        <is>
          <t>Yes</t>
        </is>
      </c>
      <c r="AT157">
        <f>HYPERLINK("http://catalog.hathitrust.org/Record/001790457","HathiTrust Record")</f>
        <v/>
      </c>
      <c r="AU157">
        <f>HYPERLINK("https://creighton-primo.hosted.exlibrisgroup.com/primo-explore/search?tab=default_tab&amp;search_scope=EVERYTHING&amp;vid=01CRU&amp;lang=en_US&amp;offset=0&amp;query=any,contains,991003356849702656","Catalog Record")</f>
        <v/>
      </c>
      <c r="AV157">
        <f>HYPERLINK("http://www.worldcat.org/oclc/890672","WorldCat Record")</f>
        <v/>
      </c>
      <c r="AW157" t="inlineStr">
        <is>
          <t>3314636342:fre</t>
        </is>
      </c>
      <c r="AX157" t="inlineStr">
        <is>
          <t>890672</t>
        </is>
      </c>
      <c r="AY157" t="inlineStr">
        <is>
          <t>991003356849702656</t>
        </is>
      </c>
      <c r="AZ157" t="inlineStr">
        <is>
          <t>991003356849702656</t>
        </is>
      </c>
      <c r="BA157" t="inlineStr">
        <is>
          <t>2262383950002656</t>
        </is>
      </c>
      <c r="BB157" t="inlineStr">
        <is>
          <t>BOOK</t>
        </is>
      </c>
      <c r="BE157" t="inlineStr">
        <is>
          <t>32285001479418</t>
        </is>
      </c>
      <c r="BF157" t="inlineStr">
        <is>
          <t>893692655</t>
        </is>
      </c>
    </row>
    <row r="158">
      <c r="A158" t="inlineStr">
        <is>
          <t>No</t>
        </is>
      </c>
      <c r="B158" t="inlineStr">
        <is>
          <t>CURAL</t>
        </is>
      </c>
      <c r="C158" t="inlineStr">
        <is>
          <t>SHELVES</t>
        </is>
      </c>
      <c r="D158" t="inlineStr">
        <is>
          <t>PQ241 .T6</t>
        </is>
      </c>
      <c r="E158" t="inlineStr">
        <is>
          <t>0                      PQ 0241000T  6</t>
        </is>
      </c>
      <c r="F158" t="inlineStr">
        <is>
          <t>Introduction à la vie littéraire du XVIIe siècle.</t>
        </is>
      </c>
      <c r="H158" t="inlineStr">
        <is>
          <t>No</t>
        </is>
      </c>
      <c r="I158" t="inlineStr">
        <is>
          <t>1</t>
        </is>
      </c>
      <c r="J158" t="inlineStr">
        <is>
          <t>No</t>
        </is>
      </c>
      <c r="K158" t="inlineStr">
        <is>
          <t>No</t>
        </is>
      </c>
      <c r="L158" t="inlineStr">
        <is>
          <t>0</t>
        </is>
      </c>
      <c r="M158" t="inlineStr">
        <is>
          <t>Tournand, Jean-Claude.</t>
        </is>
      </c>
      <c r="N158" t="inlineStr">
        <is>
          <t>Paris : Bordas, [1970]</t>
        </is>
      </c>
      <c r="O158" t="inlineStr">
        <is>
          <t>1970</t>
        </is>
      </c>
      <c r="Q158" t="inlineStr">
        <is>
          <t>fre</t>
        </is>
      </c>
      <c r="R158" t="inlineStr">
        <is>
          <t xml:space="preserve">fr </t>
        </is>
      </c>
      <c r="S158" t="inlineStr">
        <is>
          <t>Collection "Etudes supérieures" ; ES32. Série rouge</t>
        </is>
      </c>
      <c r="T158" t="inlineStr">
        <is>
          <t xml:space="preserve">PQ </t>
        </is>
      </c>
      <c r="U158" t="n">
        <v>2</v>
      </c>
      <c r="V158" t="n">
        <v>2</v>
      </c>
      <c r="W158" t="inlineStr">
        <is>
          <t>1993-03-23</t>
        </is>
      </c>
      <c r="X158" t="inlineStr">
        <is>
          <t>1993-03-23</t>
        </is>
      </c>
      <c r="Y158" t="inlineStr">
        <is>
          <t>1993-01-28</t>
        </is>
      </c>
      <c r="Z158" t="inlineStr">
        <is>
          <t>1993-01-28</t>
        </is>
      </c>
      <c r="AA158" t="n">
        <v>275</v>
      </c>
      <c r="AB158" t="n">
        <v>178</v>
      </c>
      <c r="AC158" t="n">
        <v>227</v>
      </c>
      <c r="AD158" t="n">
        <v>2</v>
      </c>
      <c r="AE158" t="n">
        <v>2</v>
      </c>
      <c r="AF158" t="n">
        <v>11</v>
      </c>
      <c r="AG158" t="n">
        <v>13</v>
      </c>
      <c r="AH158" t="n">
        <v>3</v>
      </c>
      <c r="AI158" t="n">
        <v>3</v>
      </c>
      <c r="AJ158" t="n">
        <v>4</v>
      </c>
      <c r="AK158" t="n">
        <v>5</v>
      </c>
      <c r="AL158" t="n">
        <v>8</v>
      </c>
      <c r="AM158" t="n">
        <v>9</v>
      </c>
      <c r="AN158" t="n">
        <v>1</v>
      </c>
      <c r="AO158" t="n">
        <v>1</v>
      </c>
      <c r="AP158" t="n">
        <v>0</v>
      </c>
      <c r="AQ158" t="n">
        <v>0</v>
      </c>
      <c r="AR158" t="inlineStr">
        <is>
          <t>No</t>
        </is>
      </c>
      <c r="AS158" t="inlineStr">
        <is>
          <t>Yes</t>
        </is>
      </c>
      <c r="AT158">
        <f>HYPERLINK("http://catalog.hathitrust.org/Record/001957790","HathiTrust Record")</f>
        <v/>
      </c>
      <c r="AU158">
        <f>HYPERLINK("https://creighton-primo.hosted.exlibrisgroup.com/primo-explore/search?tab=default_tab&amp;search_scope=EVERYTHING&amp;vid=01CRU&amp;lang=en_US&amp;offset=0&amp;query=any,contains,991002390429702656","Catalog Record")</f>
        <v/>
      </c>
      <c r="AV158">
        <f>HYPERLINK("http://www.worldcat.org/oclc/332162","WorldCat Record")</f>
        <v/>
      </c>
      <c r="AW158" t="inlineStr">
        <is>
          <t>1436445:fre</t>
        </is>
      </c>
      <c r="AX158" t="inlineStr">
        <is>
          <t>332162</t>
        </is>
      </c>
      <c r="AY158" t="inlineStr">
        <is>
          <t>991002390429702656</t>
        </is>
      </c>
      <c r="AZ158" t="inlineStr">
        <is>
          <t>991002390429702656</t>
        </is>
      </c>
      <c r="BA158" t="inlineStr">
        <is>
          <t>2258586500002656</t>
        </is>
      </c>
      <c r="BB158" t="inlineStr">
        <is>
          <t>BOOK</t>
        </is>
      </c>
      <c r="BE158" t="inlineStr">
        <is>
          <t>32285001479392</t>
        </is>
      </c>
      <c r="BF158" t="inlineStr">
        <is>
          <t>893316758</t>
        </is>
      </c>
    </row>
    <row r="159">
      <c r="A159" t="inlineStr">
        <is>
          <t>No</t>
        </is>
      </c>
      <c r="B159" t="inlineStr">
        <is>
          <t>CURAL</t>
        </is>
      </c>
      <c r="C159" t="inlineStr">
        <is>
          <t>SHELVES</t>
        </is>
      </c>
      <c r="D159" t="inlineStr">
        <is>
          <t>PQ2412 .D5 1988</t>
        </is>
      </c>
      <c r="E159" t="inlineStr">
        <is>
          <t>0                      PQ 2412000D  5           1988</t>
        </is>
      </c>
      <c r="F159" t="inlineStr">
        <is>
          <t>George Sand : a brave man, the most womanly woman / Donna Dickenson.</t>
        </is>
      </c>
      <c r="H159" t="inlineStr">
        <is>
          <t>No</t>
        </is>
      </c>
      <c r="I159" t="inlineStr">
        <is>
          <t>1</t>
        </is>
      </c>
      <c r="J159" t="inlineStr">
        <is>
          <t>No</t>
        </is>
      </c>
      <c r="K159" t="inlineStr">
        <is>
          <t>No</t>
        </is>
      </c>
      <c r="L159" t="inlineStr">
        <is>
          <t>0</t>
        </is>
      </c>
      <c r="M159" t="inlineStr">
        <is>
          <t>Dickenson, Donna.</t>
        </is>
      </c>
      <c r="N159" t="inlineStr">
        <is>
          <t>Oxford ; New York : Berg ; New York : Distributed in the US and Canada by St. Martin's Press, 1988.</t>
        </is>
      </c>
      <c r="O159" t="inlineStr">
        <is>
          <t>1988</t>
        </is>
      </c>
      <c r="Q159" t="inlineStr">
        <is>
          <t>eng</t>
        </is>
      </c>
      <c r="R159" t="inlineStr">
        <is>
          <t>enk</t>
        </is>
      </c>
      <c r="S159" t="inlineStr">
        <is>
          <t>Berg women's series</t>
        </is>
      </c>
      <c r="T159" t="inlineStr">
        <is>
          <t xml:space="preserve">PQ </t>
        </is>
      </c>
      <c r="U159" t="n">
        <v>7</v>
      </c>
      <c r="V159" t="n">
        <v>7</v>
      </c>
      <c r="W159" t="inlineStr">
        <is>
          <t>2004-02-12</t>
        </is>
      </c>
      <c r="X159" t="inlineStr">
        <is>
          <t>2004-02-12</t>
        </is>
      </c>
      <c r="Y159" t="inlineStr">
        <is>
          <t>1991-05-09</t>
        </is>
      </c>
      <c r="Z159" t="inlineStr">
        <is>
          <t>1991-05-09</t>
        </is>
      </c>
      <c r="AA159" t="n">
        <v>628</v>
      </c>
      <c r="AB159" t="n">
        <v>526</v>
      </c>
      <c r="AC159" t="n">
        <v>538</v>
      </c>
      <c r="AD159" t="n">
        <v>5</v>
      </c>
      <c r="AE159" t="n">
        <v>5</v>
      </c>
      <c r="AF159" t="n">
        <v>26</v>
      </c>
      <c r="AG159" t="n">
        <v>26</v>
      </c>
      <c r="AH159" t="n">
        <v>9</v>
      </c>
      <c r="AI159" t="n">
        <v>9</v>
      </c>
      <c r="AJ159" t="n">
        <v>8</v>
      </c>
      <c r="AK159" t="n">
        <v>8</v>
      </c>
      <c r="AL159" t="n">
        <v>12</v>
      </c>
      <c r="AM159" t="n">
        <v>12</v>
      </c>
      <c r="AN159" t="n">
        <v>4</v>
      </c>
      <c r="AO159" t="n">
        <v>4</v>
      </c>
      <c r="AP159" t="n">
        <v>0</v>
      </c>
      <c r="AQ159" t="n">
        <v>0</v>
      </c>
      <c r="AR159" t="inlineStr">
        <is>
          <t>No</t>
        </is>
      </c>
      <c r="AS159" t="inlineStr">
        <is>
          <t>Yes</t>
        </is>
      </c>
      <c r="AT159">
        <f>HYPERLINK("http://catalog.hathitrust.org/Record/000873058","HathiTrust Record")</f>
        <v/>
      </c>
      <c r="AU159">
        <f>HYPERLINK("https://creighton-primo.hosted.exlibrisgroup.com/primo-explore/search?tab=default_tab&amp;search_scope=EVERYTHING&amp;vid=01CRU&amp;lang=en_US&amp;offset=0&amp;query=any,contains,991001046559702656","Catalog Record")</f>
        <v/>
      </c>
      <c r="AV159">
        <f>HYPERLINK("http://www.worldcat.org/oclc/15629184","WorldCat Record")</f>
        <v/>
      </c>
      <c r="AW159" t="inlineStr">
        <is>
          <t>10370527:eng</t>
        </is>
      </c>
      <c r="AX159" t="inlineStr">
        <is>
          <t>15629184</t>
        </is>
      </c>
      <c r="AY159" t="inlineStr">
        <is>
          <t>991001046559702656</t>
        </is>
      </c>
      <c r="AZ159" t="inlineStr">
        <is>
          <t>991001046559702656</t>
        </is>
      </c>
      <c r="BA159" t="inlineStr">
        <is>
          <t>2270055730002656</t>
        </is>
      </c>
      <c r="BB159" t="inlineStr">
        <is>
          <t>BOOK</t>
        </is>
      </c>
      <c r="BD159" t="inlineStr">
        <is>
          <t>9780854965373</t>
        </is>
      </c>
      <c r="BE159" t="inlineStr">
        <is>
          <t>32285000603059</t>
        </is>
      </c>
      <c r="BF159" t="inlineStr">
        <is>
          <t>893803293</t>
        </is>
      </c>
    </row>
    <row r="160">
      <c r="A160" t="inlineStr">
        <is>
          <t>No</t>
        </is>
      </c>
      <c r="B160" t="inlineStr">
        <is>
          <t>CURAL</t>
        </is>
      </c>
      <c r="C160" t="inlineStr">
        <is>
          <t>SHELVES</t>
        </is>
      </c>
      <c r="D160" t="inlineStr">
        <is>
          <t>PQ2412 .H37 2004</t>
        </is>
      </c>
      <c r="E160" t="inlineStr">
        <is>
          <t>0                      PQ 2412000H  37          2004</t>
        </is>
      </c>
      <c r="F160" t="inlineStr">
        <is>
          <t>George Sand / Elizabeth Harlan.</t>
        </is>
      </c>
      <c r="H160" t="inlineStr">
        <is>
          <t>No</t>
        </is>
      </c>
      <c r="I160" t="inlineStr">
        <is>
          <t>1</t>
        </is>
      </c>
      <c r="J160" t="inlineStr">
        <is>
          <t>No</t>
        </is>
      </c>
      <c r="K160" t="inlineStr">
        <is>
          <t>No</t>
        </is>
      </c>
      <c r="L160" t="inlineStr">
        <is>
          <t>0</t>
        </is>
      </c>
      <c r="M160" t="inlineStr">
        <is>
          <t>Harlan, Elizabeth.</t>
        </is>
      </c>
      <c r="N160" t="inlineStr">
        <is>
          <t>New Haven : Yale University Press, c2004.</t>
        </is>
      </c>
      <c r="O160" t="inlineStr">
        <is>
          <t>2004</t>
        </is>
      </c>
      <c r="Q160" t="inlineStr">
        <is>
          <t>eng</t>
        </is>
      </c>
      <c r="R160" t="inlineStr">
        <is>
          <t>ctu</t>
        </is>
      </c>
      <c r="T160" t="inlineStr">
        <is>
          <t xml:space="preserve">PQ </t>
        </is>
      </c>
      <c r="U160" t="n">
        <v>1</v>
      </c>
      <c r="V160" t="n">
        <v>1</v>
      </c>
      <c r="W160" t="inlineStr">
        <is>
          <t>2005-01-18</t>
        </is>
      </c>
      <c r="X160" t="inlineStr">
        <is>
          <t>2005-01-18</t>
        </is>
      </c>
      <c r="Y160" t="inlineStr">
        <is>
          <t>2005-01-18</t>
        </is>
      </c>
      <c r="Z160" t="inlineStr">
        <is>
          <t>2005-01-18</t>
        </is>
      </c>
      <c r="AA160" t="n">
        <v>600</v>
      </c>
      <c r="AB160" t="n">
        <v>517</v>
      </c>
      <c r="AC160" t="n">
        <v>1217</v>
      </c>
      <c r="AD160" t="n">
        <v>2</v>
      </c>
      <c r="AE160" t="n">
        <v>9</v>
      </c>
      <c r="AF160" t="n">
        <v>20</v>
      </c>
      <c r="AG160" t="n">
        <v>43</v>
      </c>
      <c r="AH160" t="n">
        <v>10</v>
      </c>
      <c r="AI160" t="n">
        <v>18</v>
      </c>
      <c r="AJ160" t="n">
        <v>6</v>
      </c>
      <c r="AK160" t="n">
        <v>9</v>
      </c>
      <c r="AL160" t="n">
        <v>12</v>
      </c>
      <c r="AM160" t="n">
        <v>19</v>
      </c>
      <c r="AN160" t="n">
        <v>1</v>
      </c>
      <c r="AO160" t="n">
        <v>8</v>
      </c>
      <c r="AP160" t="n">
        <v>0</v>
      </c>
      <c r="AQ160" t="n">
        <v>1</v>
      </c>
      <c r="AR160" t="inlineStr">
        <is>
          <t>No</t>
        </is>
      </c>
      <c r="AS160" t="inlineStr">
        <is>
          <t>No</t>
        </is>
      </c>
      <c r="AU160">
        <f>HYPERLINK("https://creighton-primo.hosted.exlibrisgroup.com/primo-explore/search?tab=default_tab&amp;search_scope=EVERYTHING&amp;vid=01CRU&amp;lang=en_US&amp;offset=0&amp;query=any,contains,991004430869702656","Catalog Record")</f>
        <v/>
      </c>
      <c r="AV160">
        <f>HYPERLINK("http://www.worldcat.org/oclc/55085751","WorldCat Record")</f>
        <v/>
      </c>
      <c r="AW160" t="inlineStr">
        <is>
          <t>894902:eng</t>
        </is>
      </c>
      <c r="AX160" t="inlineStr">
        <is>
          <t>55085751</t>
        </is>
      </c>
      <c r="AY160" t="inlineStr">
        <is>
          <t>991004430869702656</t>
        </is>
      </c>
      <c r="AZ160" t="inlineStr">
        <is>
          <t>991004430869702656</t>
        </is>
      </c>
      <c r="BA160" t="inlineStr">
        <is>
          <t>2259052730002656</t>
        </is>
      </c>
      <c r="BB160" t="inlineStr">
        <is>
          <t>BOOK</t>
        </is>
      </c>
      <c r="BD160" t="inlineStr">
        <is>
          <t>9780300104172</t>
        </is>
      </c>
      <c r="BE160" t="inlineStr">
        <is>
          <t>32285005022024</t>
        </is>
      </c>
      <c r="BF160" t="inlineStr">
        <is>
          <t>893706411</t>
        </is>
      </c>
    </row>
    <row r="161">
      <c r="A161" t="inlineStr">
        <is>
          <t>No</t>
        </is>
      </c>
      <c r="B161" t="inlineStr">
        <is>
          <t>CURAL</t>
        </is>
      </c>
      <c r="C161" t="inlineStr">
        <is>
          <t>SHELVES</t>
        </is>
      </c>
      <c r="D161" t="inlineStr">
        <is>
          <t>PQ2412 .J33 2000</t>
        </is>
      </c>
      <c r="E161" t="inlineStr">
        <is>
          <t>0                      PQ 2412000J  33          2000</t>
        </is>
      </c>
      <c r="F161" t="inlineStr">
        <is>
          <t>George Sand : a woman's life writ large / Belinda Jack.</t>
        </is>
      </c>
      <c r="H161" t="inlineStr">
        <is>
          <t>No</t>
        </is>
      </c>
      <c r="I161" t="inlineStr">
        <is>
          <t>1</t>
        </is>
      </c>
      <c r="J161" t="inlineStr">
        <is>
          <t>No</t>
        </is>
      </c>
      <c r="K161" t="inlineStr">
        <is>
          <t>No</t>
        </is>
      </c>
      <c r="L161" t="inlineStr">
        <is>
          <t>0</t>
        </is>
      </c>
      <c r="M161" t="inlineStr">
        <is>
          <t>Jack, Belinda Elizabeth.</t>
        </is>
      </c>
      <c r="N161" t="inlineStr">
        <is>
          <t>New York : Knopf, 2000, c1999.</t>
        </is>
      </c>
      <c r="O161" t="inlineStr">
        <is>
          <t>2000</t>
        </is>
      </c>
      <c r="P161" t="inlineStr">
        <is>
          <t>1st American ed.</t>
        </is>
      </c>
      <c r="Q161" t="inlineStr">
        <is>
          <t>eng</t>
        </is>
      </c>
      <c r="R161" t="inlineStr">
        <is>
          <t>nyu</t>
        </is>
      </c>
      <c r="T161" t="inlineStr">
        <is>
          <t xml:space="preserve">PQ </t>
        </is>
      </c>
      <c r="U161" t="n">
        <v>4</v>
      </c>
      <c r="V161" t="n">
        <v>4</v>
      </c>
      <c r="W161" t="inlineStr">
        <is>
          <t>2003-12-13</t>
        </is>
      </c>
      <c r="X161" t="inlineStr">
        <is>
          <t>2003-12-13</t>
        </is>
      </c>
      <c r="Y161" t="inlineStr">
        <is>
          <t>2000-11-13</t>
        </is>
      </c>
      <c r="Z161" t="inlineStr">
        <is>
          <t>2000-11-13</t>
        </is>
      </c>
      <c r="AA161" t="n">
        <v>958</v>
      </c>
      <c r="AB161" t="n">
        <v>928</v>
      </c>
      <c r="AC161" t="n">
        <v>1024</v>
      </c>
      <c r="AD161" t="n">
        <v>10</v>
      </c>
      <c r="AE161" t="n">
        <v>12</v>
      </c>
      <c r="AF161" t="n">
        <v>35</v>
      </c>
      <c r="AG161" t="n">
        <v>37</v>
      </c>
      <c r="AH161" t="n">
        <v>14</v>
      </c>
      <c r="AI161" t="n">
        <v>14</v>
      </c>
      <c r="AJ161" t="n">
        <v>8</v>
      </c>
      <c r="AK161" t="n">
        <v>9</v>
      </c>
      <c r="AL161" t="n">
        <v>14</v>
      </c>
      <c r="AM161" t="n">
        <v>15</v>
      </c>
      <c r="AN161" t="n">
        <v>8</v>
      </c>
      <c r="AO161" t="n">
        <v>9</v>
      </c>
      <c r="AP161" t="n">
        <v>0</v>
      </c>
      <c r="AQ161" t="n">
        <v>0</v>
      </c>
      <c r="AR161" t="inlineStr">
        <is>
          <t>No</t>
        </is>
      </c>
      <c r="AS161" t="inlineStr">
        <is>
          <t>Yes</t>
        </is>
      </c>
      <c r="AT161">
        <f>HYPERLINK("http://catalog.hathitrust.org/Record/008323964","HathiTrust Record")</f>
        <v/>
      </c>
      <c r="AU161">
        <f>HYPERLINK("https://creighton-primo.hosted.exlibrisgroup.com/primo-explore/search?tab=default_tab&amp;search_scope=EVERYTHING&amp;vid=01CRU&amp;lang=en_US&amp;offset=0&amp;query=any,contains,991003331489702656","Catalog Record")</f>
        <v/>
      </c>
      <c r="AV161">
        <f>HYPERLINK("http://www.worldcat.org/oclc/41967166","WorldCat Record")</f>
        <v/>
      </c>
      <c r="AW161" t="inlineStr">
        <is>
          <t>26619158:eng</t>
        </is>
      </c>
      <c r="AX161" t="inlineStr">
        <is>
          <t>41967166</t>
        </is>
      </c>
      <c r="AY161" t="inlineStr">
        <is>
          <t>991003331489702656</t>
        </is>
      </c>
      <c r="AZ161" t="inlineStr">
        <is>
          <t>991003331489702656</t>
        </is>
      </c>
      <c r="BA161" t="inlineStr">
        <is>
          <t>2269277360002656</t>
        </is>
      </c>
      <c r="BB161" t="inlineStr">
        <is>
          <t>BOOK</t>
        </is>
      </c>
      <c r="BD161" t="inlineStr">
        <is>
          <t>9780679455011</t>
        </is>
      </c>
      <c r="BE161" t="inlineStr">
        <is>
          <t>32285004265251</t>
        </is>
      </c>
      <c r="BF161" t="inlineStr">
        <is>
          <t>893623381</t>
        </is>
      </c>
    </row>
    <row r="162">
      <c r="A162" t="inlineStr">
        <is>
          <t>No</t>
        </is>
      </c>
      <c r="B162" t="inlineStr">
        <is>
          <t>CURAL</t>
        </is>
      </c>
      <c r="C162" t="inlineStr">
        <is>
          <t>SHELVES</t>
        </is>
      </c>
      <c r="D162" t="inlineStr">
        <is>
          <t>PQ2413 .B3</t>
        </is>
      </c>
      <c r="E162" t="inlineStr">
        <is>
          <t>0                      PQ 2413000B  3</t>
        </is>
      </c>
      <c r="F162" t="inlineStr">
        <is>
          <t>Infamous woman : the life of George Sand / Joseph Barry.</t>
        </is>
      </c>
      <c r="H162" t="inlineStr">
        <is>
          <t>No</t>
        </is>
      </c>
      <c r="I162" t="inlineStr">
        <is>
          <t>1</t>
        </is>
      </c>
      <c r="J162" t="inlineStr">
        <is>
          <t>No</t>
        </is>
      </c>
      <c r="K162" t="inlineStr">
        <is>
          <t>No</t>
        </is>
      </c>
      <c r="L162" t="inlineStr">
        <is>
          <t>0</t>
        </is>
      </c>
      <c r="M162" t="inlineStr">
        <is>
          <t>Barry, Joseph, 1917-1994.</t>
        </is>
      </c>
      <c r="N162" t="inlineStr">
        <is>
          <t>Garden City, N.Y. : Doubleday, 1977, c1976.</t>
        </is>
      </c>
      <c r="O162" t="inlineStr">
        <is>
          <t>1977</t>
        </is>
      </c>
      <c r="P162" t="inlineStr">
        <is>
          <t>1st ed.</t>
        </is>
      </c>
      <c r="Q162" t="inlineStr">
        <is>
          <t>eng</t>
        </is>
      </c>
      <c r="R162" t="inlineStr">
        <is>
          <t>nyu</t>
        </is>
      </c>
      <c r="T162" t="inlineStr">
        <is>
          <t xml:space="preserve">PQ </t>
        </is>
      </c>
      <c r="U162" t="n">
        <v>1</v>
      </c>
      <c r="V162" t="n">
        <v>1</v>
      </c>
      <c r="W162" t="inlineStr">
        <is>
          <t>2001-05-30</t>
        </is>
      </c>
      <c r="X162" t="inlineStr">
        <is>
          <t>2001-05-30</t>
        </is>
      </c>
      <c r="Y162" t="inlineStr">
        <is>
          <t>1997-12-16</t>
        </is>
      </c>
      <c r="Z162" t="inlineStr">
        <is>
          <t>1997-12-16</t>
        </is>
      </c>
      <c r="AA162" t="n">
        <v>943</v>
      </c>
      <c r="AB162" t="n">
        <v>892</v>
      </c>
      <c r="AC162" t="n">
        <v>1064</v>
      </c>
      <c r="AD162" t="n">
        <v>8</v>
      </c>
      <c r="AE162" t="n">
        <v>9</v>
      </c>
      <c r="AF162" t="n">
        <v>22</v>
      </c>
      <c r="AG162" t="n">
        <v>27</v>
      </c>
      <c r="AH162" t="n">
        <v>8</v>
      </c>
      <c r="AI162" t="n">
        <v>11</v>
      </c>
      <c r="AJ162" t="n">
        <v>8</v>
      </c>
      <c r="AK162" t="n">
        <v>9</v>
      </c>
      <c r="AL162" t="n">
        <v>8</v>
      </c>
      <c r="AM162" t="n">
        <v>10</v>
      </c>
      <c r="AN162" t="n">
        <v>4</v>
      </c>
      <c r="AO162" t="n">
        <v>5</v>
      </c>
      <c r="AP162" t="n">
        <v>0</v>
      </c>
      <c r="AQ162" t="n">
        <v>0</v>
      </c>
      <c r="AR162" t="inlineStr">
        <is>
          <t>No</t>
        </is>
      </c>
      <c r="AS162" t="inlineStr">
        <is>
          <t>Yes</t>
        </is>
      </c>
      <c r="AT162">
        <f>HYPERLINK("http://catalog.hathitrust.org/Record/000724243","HathiTrust Record")</f>
        <v/>
      </c>
      <c r="AU162">
        <f>HYPERLINK("https://creighton-primo.hosted.exlibrisgroup.com/primo-explore/search?tab=default_tab&amp;search_scope=EVERYTHING&amp;vid=01CRU&amp;lang=en_US&amp;offset=0&amp;query=any,contains,991004090669702656","Catalog Record")</f>
        <v/>
      </c>
      <c r="AV162">
        <f>HYPERLINK("http://www.worldcat.org/oclc/2345584","WorldCat Record")</f>
        <v/>
      </c>
      <c r="AW162" t="inlineStr">
        <is>
          <t>279568335:eng</t>
        </is>
      </c>
      <c r="AX162" t="inlineStr">
        <is>
          <t>2345584</t>
        </is>
      </c>
      <c r="AY162" t="inlineStr">
        <is>
          <t>991004090669702656</t>
        </is>
      </c>
      <c r="AZ162" t="inlineStr">
        <is>
          <t>991004090669702656</t>
        </is>
      </c>
      <c r="BA162" t="inlineStr">
        <is>
          <t>2261949910002656</t>
        </is>
      </c>
      <c r="BB162" t="inlineStr">
        <is>
          <t>BOOK</t>
        </is>
      </c>
      <c r="BD162" t="inlineStr">
        <is>
          <t>9780385068307</t>
        </is>
      </c>
      <c r="BE162" t="inlineStr">
        <is>
          <t>32285003292256</t>
        </is>
      </c>
      <c r="BF162" t="inlineStr">
        <is>
          <t>893353204</t>
        </is>
      </c>
    </row>
    <row r="163">
      <c r="A163" t="inlineStr">
        <is>
          <t>No</t>
        </is>
      </c>
      <c r="B163" t="inlineStr">
        <is>
          <t>CURAL</t>
        </is>
      </c>
      <c r="C163" t="inlineStr">
        <is>
          <t>SHELVES</t>
        </is>
      </c>
      <c r="D163" t="inlineStr">
        <is>
          <t>PQ2413 .C3</t>
        </is>
      </c>
      <c r="E163" t="inlineStr">
        <is>
          <t>0                      PQ 2413000C  3</t>
        </is>
      </c>
      <c r="F163" t="inlineStr">
        <is>
          <t>George Sand : a biography / by Curtis Cate.</t>
        </is>
      </c>
      <c r="H163" t="inlineStr">
        <is>
          <t>No</t>
        </is>
      </c>
      <c r="I163" t="inlineStr">
        <is>
          <t>1</t>
        </is>
      </c>
      <c r="J163" t="inlineStr">
        <is>
          <t>No</t>
        </is>
      </c>
      <c r="K163" t="inlineStr">
        <is>
          <t>No</t>
        </is>
      </c>
      <c r="L163" t="inlineStr">
        <is>
          <t>0</t>
        </is>
      </c>
      <c r="M163" t="inlineStr">
        <is>
          <t>Cate, Curtis, 1924-2006.</t>
        </is>
      </c>
      <c r="N163" t="inlineStr">
        <is>
          <t>Boston : Houghton Mifflin, 1975.</t>
        </is>
      </c>
      <c r="O163" t="inlineStr">
        <is>
          <t>1975</t>
        </is>
      </c>
      <c r="Q163" t="inlineStr">
        <is>
          <t>eng</t>
        </is>
      </c>
      <c r="R163" t="inlineStr">
        <is>
          <t>mau</t>
        </is>
      </c>
      <c r="T163" t="inlineStr">
        <is>
          <t xml:space="preserve">PQ </t>
        </is>
      </c>
      <c r="U163" t="n">
        <v>1</v>
      </c>
      <c r="V163" t="n">
        <v>1</v>
      </c>
      <c r="W163" t="inlineStr">
        <is>
          <t>2000-11-08</t>
        </is>
      </c>
      <c r="X163" t="inlineStr">
        <is>
          <t>2000-11-08</t>
        </is>
      </c>
      <c r="Y163" t="inlineStr">
        <is>
          <t>1997-05-19</t>
        </is>
      </c>
      <c r="Z163" t="inlineStr">
        <is>
          <t>1997-05-19</t>
        </is>
      </c>
      <c r="AA163" t="n">
        <v>1441</v>
      </c>
      <c r="AB163" t="n">
        <v>1352</v>
      </c>
      <c r="AC163" t="n">
        <v>1442</v>
      </c>
      <c r="AD163" t="n">
        <v>6</v>
      </c>
      <c r="AE163" t="n">
        <v>6</v>
      </c>
      <c r="AF163" t="n">
        <v>39</v>
      </c>
      <c r="AG163" t="n">
        <v>41</v>
      </c>
      <c r="AH163" t="n">
        <v>17</v>
      </c>
      <c r="AI163" t="n">
        <v>18</v>
      </c>
      <c r="AJ163" t="n">
        <v>10</v>
      </c>
      <c r="AK163" t="n">
        <v>10</v>
      </c>
      <c r="AL163" t="n">
        <v>19</v>
      </c>
      <c r="AM163" t="n">
        <v>21</v>
      </c>
      <c r="AN163" t="n">
        <v>4</v>
      </c>
      <c r="AO163" t="n">
        <v>4</v>
      </c>
      <c r="AP163" t="n">
        <v>0</v>
      </c>
      <c r="AQ163" t="n">
        <v>0</v>
      </c>
      <c r="AR163" t="inlineStr">
        <is>
          <t>No</t>
        </is>
      </c>
      <c r="AS163" t="inlineStr">
        <is>
          <t>Yes</t>
        </is>
      </c>
      <c r="AT163">
        <f>HYPERLINK("http://catalog.hathitrust.org/Record/001226115","HathiTrust Record")</f>
        <v/>
      </c>
      <c r="AU163">
        <f>HYPERLINK("https://creighton-primo.hosted.exlibrisgroup.com/primo-explore/search?tab=default_tab&amp;search_scope=EVERYTHING&amp;vid=01CRU&amp;lang=en_US&amp;offset=0&amp;query=any,contains,991003653839702656","Catalog Record")</f>
        <v/>
      </c>
      <c r="AV163">
        <f>HYPERLINK("http://www.worldcat.org/oclc/1257084","WorldCat Record")</f>
        <v/>
      </c>
      <c r="AW163" t="inlineStr">
        <is>
          <t>196518606:eng</t>
        </is>
      </c>
      <c r="AX163" t="inlineStr">
        <is>
          <t>1257084</t>
        </is>
      </c>
      <c r="AY163" t="inlineStr">
        <is>
          <t>991003653839702656</t>
        </is>
      </c>
      <c r="AZ163" t="inlineStr">
        <is>
          <t>991003653839702656</t>
        </is>
      </c>
      <c r="BA163" t="inlineStr">
        <is>
          <t>2257450890002656</t>
        </is>
      </c>
      <c r="BB163" t="inlineStr">
        <is>
          <t>BOOK</t>
        </is>
      </c>
      <c r="BD163" t="inlineStr">
        <is>
          <t>9780395199541</t>
        </is>
      </c>
      <c r="BE163" t="inlineStr">
        <is>
          <t>32285002726437</t>
        </is>
      </c>
      <c r="BF163" t="inlineStr">
        <is>
          <t>893531425</t>
        </is>
      </c>
    </row>
    <row r="164">
      <c r="A164" t="inlineStr">
        <is>
          <t>No</t>
        </is>
      </c>
      <c r="B164" t="inlineStr">
        <is>
          <t>CURAL</t>
        </is>
      </c>
      <c r="C164" t="inlineStr">
        <is>
          <t>SHELVES</t>
        </is>
      </c>
      <c r="D164" t="inlineStr">
        <is>
          <t>PQ2414 .A8</t>
        </is>
      </c>
      <c r="E164" t="inlineStr">
        <is>
          <t>0                      PQ 2414000A  8</t>
        </is>
      </c>
      <c r="F164" t="inlineStr">
        <is>
          <t>The lioness and the little one : the liaison of George Sand and Frédéric Chopin / William G. Atwood.</t>
        </is>
      </c>
      <c r="H164" t="inlineStr">
        <is>
          <t>No</t>
        </is>
      </c>
      <c r="I164" t="inlineStr">
        <is>
          <t>1</t>
        </is>
      </c>
      <c r="J164" t="inlineStr">
        <is>
          <t>No</t>
        </is>
      </c>
      <c r="K164" t="inlineStr">
        <is>
          <t>No</t>
        </is>
      </c>
      <c r="L164" t="inlineStr">
        <is>
          <t>0</t>
        </is>
      </c>
      <c r="M164" t="inlineStr">
        <is>
          <t>Atwood, William G., 1932-2011.</t>
        </is>
      </c>
      <c r="N164" t="inlineStr">
        <is>
          <t>New York : Columbia University Press, 1980.</t>
        </is>
      </c>
      <c r="O164" t="inlineStr">
        <is>
          <t>1980</t>
        </is>
      </c>
      <c r="Q164" t="inlineStr">
        <is>
          <t>eng</t>
        </is>
      </c>
      <c r="R164" t="inlineStr">
        <is>
          <t>nyu</t>
        </is>
      </c>
      <c r="T164" t="inlineStr">
        <is>
          <t xml:space="preserve">PQ </t>
        </is>
      </c>
      <c r="U164" t="n">
        <v>3</v>
      </c>
      <c r="V164" t="n">
        <v>3</v>
      </c>
      <c r="W164" t="inlineStr">
        <is>
          <t>2000-11-08</t>
        </is>
      </c>
      <c r="X164" t="inlineStr">
        <is>
          <t>2000-11-08</t>
        </is>
      </c>
      <c r="Y164" t="inlineStr">
        <is>
          <t>1991-05-09</t>
        </is>
      </c>
      <c r="Z164" t="inlineStr">
        <is>
          <t>1991-05-09</t>
        </is>
      </c>
      <c r="AA164" t="n">
        <v>671</v>
      </c>
      <c r="AB164" t="n">
        <v>581</v>
      </c>
      <c r="AC164" t="n">
        <v>590</v>
      </c>
      <c r="AD164" t="n">
        <v>4</v>
      </c>
      <c r="AE164" t="n">
        <v>4</v>
      </c>
      <c r="AF164" t="n">
        <v>17</v>
      </c>
      <c r="AG164" t="n">
        <v>17</v>
      </c>
      <c r="AH164" t="n">
        <v>5</v>
      </c>
      <c r="AI164" t="n">
        <v>5</v>
      </c>
      <c r="AJ164" t="n">
        <v>4</v>
      </c>
      <c r="AK164" t="n">
        <v>4</v>
      </c>
      <c r="AL164" t="n">
        <v>6</v>
      </c>
      <c r="AM164" t="n">
        <v>6</v>
      </c>
      <c r="AN164" t="n">
        <v>3</v>
      </c>
      <c r="AO164" t="n">
        <v>3</v>
      </c>
      <c r="AP164" t="n">
        <v>0</v>
      </c>
      <c r="AQ164" t="n">
        <v>0</v>
      </c>
      <c r="AR164" t="inlineStr">
        <is>
          <t>No</t>
        </is>
      </c>
      <c r="AS164" t="inlineStr">
        <is>
          <t>No</t>
        </is>
      </c>
      <c r="AU164">
        <f>HYPERLINK("https://creighton-primo.hosted.exlibrisgroup.com/primo-explore/search?tab=default_tab&amp;search_scope=EVERYTHING&amp;vid=01CRU&amp;lang=en_US&amp;offset=0&amp;query=any,contains,991004921189702656","Catalog Record")</f>
        <v/>
      </c>
      <c r="AV164">
        <f>HYPERLINK("http://www.worldcat.org/oclc/6043123","WorldCat Record")</f>
        <v/>
      </c>
      <c r="AW164" t="inlineStr">
        <is>
          <t>21030368:eng</t>
        </is>
      </c>
      <c r="AX164" t="inlineStr">
        <is>
          <t>6043123</t>
        </is>
      </c>
      <c r="AY164" t="inlineStr">
        <is>
          <t>991004921189702656</t>
        </is>
      </c>
      <c r="AZ164" t="inlineStr">
        <is>
          <t>991004921189702656</t>
        </is>
      </c>
      <c r="BA164" t="inlineStr">
        <is>
          <t>2255620620002656</t>
        </is>
      </c>
      <c r="BB164" t="inlineStr">
        <is>
          <t>BOOK</t>
        </is>
      </c>
      <c r="BD164" t="inlineStr">
        <is>
          <t>9780231049429</t>
        </is>
      </c>
      <c r="BE164" t="inlineStr">
        <is>
          <t>32285000603067</t>
        </is>
      </c>
      <c r="BF164" t="inlineStr">
        <is>
          <t>893230002</t>
        </is>
      </c>
    </row>
    <row r="165">
      <c r="A165" t="inlineStr">
        <is>
          <t>No</t>
        </is>
      </c>
      <c r="B165" t="inlineStr">
        <is>
          <t>CURAL</t>
        </is>
      </c>
      <c r="C165" t="inlineStr">
        <is>
          <t>SHELVES</t>
        </is>
      </c>
      <c r="D165" t="inlineStr">
        <is>
          <t>PQ2425.Z5 K6</t>
        </is>
      </c>
      <c r="E165" t="inlineStr">
        <is>
          <t>0                      PQ 2425000Z  5                  K  6</t>
        </is>
      </c>
      <c r="F165" t="inlineStr">
        <is>
          <t>Eugène Scribe / by Helene Koon and Richard Switzer.</t>
        </is>
      </c>
      <c r="H165" t="inlineStr">
        <is>
          <t>No</t>
        </is>
      </c>
      <c r="I165" t="inlineStr">
        <is>
          <t>1</t>
        </is>
      </c>
      <c r="J165" t="inlineStr">
        <is>
          <t>No</t>
        </is>
      </c>
      <c r="K165" t="inlineStr">
        <is>
          <t>No</t>
        </is>
      </c>
      <c r="L165" t="inlineStr">
        <is>
          <t>0</t>
        </is>
      </c>
      <c r="M165" t="inlineStr">
        <is>
          <t>Koon, Helene, 1925-1996.</t>
        </is>
      </c>
      <c r="N165" t="inlineStr">
        <is>
          <t>Boston : Twayne Publishers, 1980.</t>
        </is>
      </c>
      <c r="O165" t="inlineStr">
        <is>
          <t>1979</t>
        </is>
      </c>
      <c r="Q165" t="inlineStr">
        <is>
          <t>eng</t>
        </is>
      </c>
      <c r="R165" t="inlineStr">
        <is>
          <t>mau</t>
        </is>
      </c>
      <c r="S165" t="inlineStr">
        <is>
          <t>Twayne's world authors series ; TWAS 547 : France</t>
        </is>
      </c>
      <c r="T165" t="inlineStr">
        <is>
          <t xml:space="preserve">PQ </t>
        </is>
      </c>
      <c r="U165" t="n">
        <v>2</v>
      </c>
      <c r="V165" t="n">
        <v>2</v>
      </c>
      <c r="W165" t="inlineStr">
        <is>
          <t>1997-02-10</t>
        </is>
      </c>
      <c r="X165" t="inlineStr">
        <is>
          <t>1997-02-10</t>
        </is>
      </c>
      <c r="Y165" t="inlineStr">
        <is>
          <t>1991-05-09</t>
        </is>
      </c>
      <c r="Z165" t="inlineStr">
        <is>
          <t>1991-05-09</t>
        </is>
      </c>
      <c r="AA165" t="n">
        <v>422</v>
      </c>
      <c r="AB165" t="n">
        <v>357</v>
      </c>
      <c r="AC165" t="n">
        <v>369</v>
      </c>
      <c r="AD165" t="n">
        <v>4</v>
      </c>
      <c r="AE165" t="n">
        <v>4</v>
      </c>
      <c r="AF165" t="n">
        <v>15</v>
      </c>
      <c r="AG165" t="n">
        <v>17</v>
      </c>
      <c r="AH165" t="n">
        <v>6</v>
      </c>
      <c r="AI165" t="n">
        <v>7</v>
      </c>
      <c r="AJ165" t="n">
        <v>3</v>
      </c>
      <c r="AK165" t="n">
        <v>4</v>
      </c>
      <c r="AL165" t="n">
        <v>8</v>
      </c>
      <c r="AM165" t="n">
        <v>9</v>
      </c>
      <c r="AN165" t="n">
        <v>3</v>
      </c>
      <c r="AO165" t="n">
        <v>3</v>
      </c>
      <c r="AP165" t="n">
        <v>0</v>
      </c>
      <c r="AQ165" t="n">
        <v>0</v>
      </c>
      <c r="AR165" t="inlineStr">
        <is>
          <t>No</t>
        </is>
      </c>
      <c r="AS165" t="inlineStr">
        <is>
          <t>Yes</t>
        </is>
      </c>
      <c r="AT165">
        <f>HYPERLINK("http://catalog.hathitrust.org/Record/000025314","HathiTrust Record")</f>
        <v/>
      </c>
      <c r="AU165">
        <f>HYPERLINK("https://creighton-primo.hosted.exlibrisgroup.com/primo-explore/search?tab=default_tab&amp;search_scope=EVERYTHING&amp;vid=01CRU&amp;lang=en_US&amp;offset=0&amp;query=any,contains,991004677309702656","Catalog Record")</f>
        <v/>
      </c>
      <c r="AV165">
        <f>HYPERLINK("http://www.worldcat.org/oclc/4549393","WorldCat Record")</f>
        <v/>
      </c>
      <c r="AW165" t="inlineStr">
        <is>
          <t>14948181:eng</t>
        </is>
      </c>
      <c r="AX165" t="inlineStr">
        <is>
          <t>4549393</t>
        </is>
      </c>
      <c r="AY165" t="inlineStr">
        <is>
          <t>991004677309702656</t>
        </is>
      </c>
      <c r="AZ165" t="inlineStr">
        <is>
          <t>991004677309702656</t>
        </is>
      </c>
      <c r="BA165" t="inlineStr">
        <is>
          <t>2272644970002656</t>
        </is>
      </c>
      <c r="BB165" t="inlineStr">
        <is>
          <t>BOOK</t>
        </is>
      </c>
      <c r="BD165" t="inlineStr">
        <is>
          <t>9780805763904</t>
        </is>
      </c>
      <c r="BE165" t="inlineStr">
        <is>
          <t>32285000603091</t>
        </is>
      </c>
      <c r="BF165" t="inlineStr">
        <is>
          <t>893694201</t>
        </is>
      </c>
    </row>
    <row r="166">
      <c r="A166" t="inlineStr">
        <is>
          <t>No</t>
        </is>
      </c>
      <c r="B166" t="inlineStr">
        <is>
          <t>CURAL</t>
        </is>
      </c>
      <c r="C166" t="inlineStr">
        <is>
          <t>SHELVES</t>
        </is>
      </c>
      <c r="D166" t="inlineStr">
        <is>
          <t>PQ243 .D38</t>
        </is>
      </c>
      <c r="E166" t="inlineStr">
        <is>
          <t>0                      PQ 0243000D  38</t>
        </is>
      </c>
      <c r="F166" t="inlineStr">
        <is>
          <t>Studies in seventeenth-century French literature / presented to Morris Bishop.</t>
        </is>
      </c>
      <c r="H166" t="inlineStr">
        <is>
          <t>No</t>
        </is>
      </c>
      <c r="I166" t="inlineStr">
        <is>
          <t>1</t>
        </is>
      </c>
      <c r="J166" t="inlineStr">
        <is>
          <t>No</t>
        </is>
      </c>
      <c r="K166" t="inlineStr">
        <is>
          <t>No</t>
        </is>
      </c>
      <c r="L166" t="inlineStr">
        <is>
          <t>0</t>
        </is>
      </c>
      <c r="M166" t="inlineStr">
        <is>
          <t>Demorest, Jean-Jacques, editor.</t>
        </is>
      </c>
      <c r="N166" t="inlineStr">
        <is>
          <t>Ithaca, N.Y. : Cornell University Press, [1962]</t>
        </is>
      </c>
      <c r="O166" t="inlineStr">
        <is>
          <t>1962</t>
        </is>
      </c>
      <c r="Q166" t="inlineStr">
        <is>
          <t>eng</t>
        </is>
      </c>
      <c r="R166" t="inlineStr">
        <is>
          <t>nyu</t>
        </is>
      </c>
      <c r="T166" t="inlineStr">
        <is>
          <t xml:space="preserve">PQ </t>
        </is>
      </c>
      <c r="U166" t="n">
        <v>6</v>
      </c>
      <c r="V166" t="n">
        <v>6</v>
      </c>
      <c r="W166" t="inlineStr">
        <is>
          <t>1998-09-27</t>
        </is>
      </c>
      <c r="X166" t="inlineStr">
        <is>
          <t>1998-09-27</t>
        </is>
      </c>
      <c r="Y166" t="inlineStr">
        <is>
          <t>1993-01-28</t>
        </is>
      </c>
      <c r="Z166" t="inlineStr">
        <is>
          <t>1993-01-28</t>
        </is>
      </c>
      <c r="AA166" t="n">
        <v>802</v>
      </c>
      <c r="AB166" t="n">
        <v>710</v>
      </c>
      <c r="AC166" t="n">
        <v>755</v>
      </c>
      <c r="AD166" t="n">
        <v>5</v>
      </c>
      <c r="AE166" t="n">
        <v>5</v>
      </c>
      <c r="AF166" t="n">
        <v>33</v>
      </c>
      <c r="AG166" t="n">
        <v>33</v>
      </c>
      <c r="AH166" t="n">
        <v>11</v>
      </c>
      <c r="AI166" t="n">
        <v>11</v>
      </c>
      <c r="AJ166" t="n">
        <v>8</v>
      </c>
      <c r="AK166" t="n">
        <v>8</v>
      </c>
      <c r="AL166" t="n">
        <v>20</v>
      </c>
      <c r="AM166" t="n">
        <v>20</v>
      </c>
      <c r="AN166" t="n">
        <v>4</v>
      </c>
      <c r="AO166" t="n">
        <v>4</v>
      </c>
      <c r="AP166" t="n">
        <v>0</v>
      </c>
      <c r="AQ166" t="n">
        <v>0</v>
      </c>
      <c r="AR166" t="inlineStr">
        <is>
          <t>No</t>
        </is>
      </c>
      <c r="AS166" t="inlineStr">
        <is>
          <t>Yes</t>
        </is>
      </c>
      <c r="AT166">
        <f>HYPERLINK("http://catalog.hathitrust.org/Record/001201986","HathiTrust Record")</f>
        <v/>
      </c>
      <c r="AU166">
        <f>HYPERLINK("https://creighton-primo.hosted.exlibrisgroup.com/primo-explore/search?tab=default_tab&amp;search_scope=EVERYTHING&amp;vid=01CRU&amp;lang=en_US&amp;offset=0&amp;query=any,contains,991002409489702656","Catalog Record")</f>
        <v/>
      </c>
      <c r="AV166">
        <f>HYPERLINK("http://www.worldcat.org/oclc/338998","WorldCat Record")</f>
        <v/>
      </c>
      <c r="AW166" t="inlineStr">
        <is>
          <t>1466732:eng</t>
        </is>
      </c>
      <c r="AX166" t="inlineStr">
        <is>
          <t>338998</t>
        </is>
      </c>
      <c r="AY166" t="inlineStr">
        <is>
          <t>991002409489702656</t>
        </is>
      </c>
      <c r="AZ166" t="inlineStr">
        <is>
          <t>991002409489702656</t>
        </is>
      </c>
      <c r="BA166" t="inlineStr">
        <is>
          <t>2257156560002656</t>
        </is>
      </c>
      <c r="BB166" t="inlineStr">
        <is>
          <t>BOOK</t>
        </is>
      </c>
      <c r="BE166" t="inlineStr">
        <is>
          <t>32285001479384</t>
        </is>
      </c>
      <c r="BF166" t="inlineStr">
        <is>
          <t>893427570</t>
        </is>
      </c>
    </row>
    <row r="167">
      <c r="A167" t="inlineStr">
        <is>
          <t>No</t>
        </is>
      </c>
      <c r="B167" t="inlineStr">
        <is>
          <t>CURAL</t>
        </is>
      </c>
      <c r="C167" t="inlineStr">
        <is>
          <t>SHELVES</t>
        </is>
      </c>
      <c r="D167" t="inlineStr">
        <is>
          <t>PQ2431.Z5 I82 1994</t>
        </is>
      </c>
      <c r="E167" t="inlineStr">
        <is>
          <t>0                      PQ 2431000Z  5                  I  82          1994</t>
        </is>
      </c>
      <c r="F167" t="inlineStr">
        <is>
          <t>The birth of European romanticism : truth and propaganda in Staël's "De l'Allemagne", 1810-1813 / John Claiborne Isbell.</t>
        </is>
      </c>
      <c r="H167" t="inlineStr">
        <is>
          <t>No</t>
        </is>
      </c>
      <c r="I167" t="inlineStr">
        <is>
          <t>1</t>
        </is>
      </c>
      <c r="J167" t="inlineStr">
        <is>
          <t>No</t>
        </is>
      </c>
      <c r="K167" t="inlineStr">
        <is>
          <t>No</t>
        </is>
      </c>
      <c r="L167" t="inlineStr">
        <is>
          <t>0</t>
        </is>
      </c>
      <c r="M167" t="inlineStr">
        <is>
          <t>Isbell, John Claiborne.</t>
        </is>
      </c>
      <c r="N167" t="inlineStr">
        <is>
          <t>Cambridge [England] ; New York : Cambridge University Press, 1994.</t>
        </is>
      </c>
      <c r="O167" t="inlineStr">
        <is>
          <t>1994</t>
        </is>
      </c>
      <c r="Q167" t="inlineStr">
        <is>
          <t>eng</t>
        </is>
      </c>
      <c r="R167" t="inlineStr">
        <is>
          <t>enk</t>
        </is>
      </c>
      <c r="S167" t="inlineStr">
        <is>
          <t>Cambridge studies in French ; 49</t>
        </is>
      </c>
      <c r="T167" t="inlineStr">
        <is>
          <t xml:space="preserve">PQ </t>
        </is>
      </c>
      <c r="U167" t="n">
        <v>4</v>
      </c>
      <c r="V167" t="n">
        <v>4</v>
      </c>
      <c r="W167" t="inlineStr">
        <is>
          <t>2004-04-22</t>
        </is>
      </c>
      <c r="X167" t="inlineStr">
        <is>
          <t>2004-04-22</t>
        </is>
      </c>
      <c r="Y167" t="inlineStr">
        <is>
          <t>1998-05-18</t>
        </is>
      </c>
      <c r="Z167" t="inlineStr">
        <is>
          <t>1998-05-18</t>
        </is>
      </c>
      <c r="AA167" t="n">
        <v>274</v>
      </c>
      <c r="AB167" t="n">
        <v>193</v>
      </c>
      <c r="AC167" t="n">
        <v>214</v>
      </c>
      <c r="AD167" t="n">
        <v>2</v>
      </c>
      <c r="AE167" t="n">
        <v>2</v>
      </c>
      <c r="AF167" t="n">
        <v>13</v>
      </c>
      <c r="AG167" t="n">
        <v>14</v>
      </c>
      <c r="AH167" t="n">
        <v>2</v>
      </c>
      <c r="AI167" t="n">
        <v>3</v>
      </c>
      <c r="AJ167" t="n">
        <v>4</v>
      </c>
      <c r="AK167" t="n">
        <v>5</v>
      </c>
      <c r="AL167" t="n">
        <v>8</v>
      </c>
      <c r="AM167" t="n">
        <v>8</v>
      </c>
      <c r="AN167" t="n">
        <v>1</v>
      </c>
      <c r="AO167" t="n">
        <v>1</v>
      </c>
      <c r="AP167" t="n">
        <v>0</v>
      </c>
      <c r="AQ167" t="n">
        <v>0</v>
      </c>
      <c r="AR167" t="inlineStr">
        <is>
          <t>No</t>
        </is>
      </c>
      <c r="AS167" t="inlineStr">
        <is>
          <t>No</t>
        </is>
      </c>
      <c r="AU167">
        <f>HYPERLINK("https://creighton-primo.hosted.exlibrisgroup.com/primo-explore/search?tab=default_tab&amp;search_scope=EVERYTHING&amp;vid=01CRU&amp;lang=en_US&amp;offset=0&amp;query=any,contains,991002259069702656","Catalog Record")</f>
        <v/>
      </c>
      <c r="AV167">
        <f>HYPERLINK("http://www.worldcat.org/oclc/29259371","WorldCat Record")</f>
        <v/>
      </c>
      <c r="AW167" t="inlineStr">
        <is>
          <t>807714867:eng</t>
        </is>
      </c>
      <c r="AX167" t="inlineStr">
        <is>
          <t>29259371</t>
        </is>
      </c>
      <c r="AY167" t="inlineStr">
        <is>
          <t>991002259069702656</t>
        </is>
      </c>
      <c r="AZ167" t="inlineStr">
        <is>
          <t>991002259069702656</t>
        </is>
      </c>
      <c r="BA167" t="inlineStr">
        <is>
          <t>2266145730002656</t>
        </is>
      </c>
      <c r="BB167" t="inlineStr">
        <is>
          <t>BOOK</t>
        </is>
      </c>
      <c r="BD167" t="inlineStr">
        <is>
          <t>9780521433594</t>
        </is>
      </c>
      <c r="BE167" t="inlineStr">
        <is>
          <t>32285003409231</t>
        </is>
      </c>
      <c r="BF167" t="inlineStr">
        <is>
          <t>893879673</t>
        </is>
      </c>
    </row>
    <row r="168">
      <c r="A168" t="inlineStr">
        <is>
          <t>No</t>
        </is>
      </c>
      <c r="B168" t="inlineStr">
        <is>
          <t>CURAL</t>
        </is>
      </c>
      <c r="C168" t="inlineStr">
        <is>
          <t>SHELVES</t>
        </is>
      </c>
      <c r="D168" t="inlineStr">
        <is>
          <t>PQ2431.Z5 P75</t>
        </is>
      </c>
      <c r="E168" t="inlineStr">
        <is>
          <t>0                      PQ 2431000Z  5                  P  75</t>
        </is>
      </c>
      <c r="F168" t="inlineStr">
        <is>
          <t>Madame de Staël, by Helen B. Posgate.</t>
        </is>
      </c>
      <c r="H168" t="inlineStr">
        <is>
          <t>No</t>
        </is>
      </c>
      <c r="I168" t="inlineStr">
        <is>
          <t>1</t>
        </is>
      </c>
      <c r="J168" t="inlineStr">
        <is>
          <t>No</t>
        </is>
      </c>
      <c r="K168" t="inlineStr">
        <is>
          <t>No</t>
        </is>
      </c>
      <c r="L168" t="inlineStr">
        <is>
          <t>0</t>
        </is>
      </c>
      <c r="M168" t="inlineStr">
        <is>
          <t>Posgate, Helen B. Smith (Helen Belle Smith)</t>
        </is>
      </c>
      <c r="N168" t="inlineStr">
        <is>
          <t>New York, Twayne Publishers [c1968]</t>
        </is>
      </c>
      <c r="O168" t="inlineStr">
        <is>
          <t>1968</t>
        </is>
      </c>
      <c r="Q168" t="inlineStr">
        <is>
          <t>eng</t>
        </is>
      </c>
      <c r="R168" t="inlineStr">
        <is>
          <t>nyu</t>
        </is>
      </c>
      <c r="S168" t="inlineStr">
        <is>
          <t>Twayne's world authors series, 69 [i.e. 60]. France</t>
        </is>
      </c>
      <c r="T168" t="inlineStr">
        <is>
          <t xml:space="preserve">PQ </t>
        </is>
      </c>
      <c r="U168" t="n">
        <v>2</v>
      </c>
      <c r="V168" t="n">
        <v>2</v>
      </c>
      <c r="W168" t="inlineStr">
        <is>
          <t>2004-04-22</t>
        </is>
      </c>
      <c r="X168" t="inlineStr">
        <is>
          <t>2004-04-22</t>
        </is>
      </c>
      <c r="Y168" t="inlineStr">
        <is>
          <t>1997-05-19</t>
        </is>
      </c>
      <c r="Z168" t="inlineStr">
        <is>
          <t>1997-05-19</t>
        </is>
      </c>
      <c r="AA168" t="n">
        <v>750</v>
      </c>
      <c r="AB168" t="n">
        <v>685</v>
      </c>
      <c r="AC168" t="n">
        <v>691</v>
      </c>
      <c r="AD168" t="n">
        <v>5</v>
      </c>
      <c r="AE168" t="n">
        <v>5</v>
      </c>
      <c r="AF168" t="n">
        <v>34</v>
      </c>
      <c r="AG168" t="n">
        <v>35</v>
      </c>
      <c r="AH168" t="n">
        <v>14</v>
      </c>
      <c r="AI168" t="n">
        <v>14</v>
      </c>
      <c r="AJ168" t="n">
        <v>8</v>
      </c>
      <c r="AK168" t="n">
        <v>9</v>
      </c>
      <c r="AL168" t="n">
        <v>17</v>
      </c>
      <c r="AM168" t="n">
        <v>18</v>
      </c>
      <c r="AN168" t="n">
        <v>4</v>
      </c>
      <c r="AO168" t="n">
        <v>4</v>
      </c>
      <c r="AP168" t="n">
        <v>0</v>
      </c>
      <c r="AQ168" t="n">
        <v>0</v>
      </c>
      <c r="AR168" t="inlineStr">
        <is>
          <t>No</t>
        </is>
      </c>
      <c r="AS168" t="inlineStr">
        <is>
          <t>Yes</t>
        </is>
      </c>
      <c r="AT168">
        <f>HYPERLINK("http://catalog.hathitrust.org/Record/001216598","HathiTrust Record")</f>
        <v/>
      </c>
      <c r="AU168">
        <f>HYPERLINK("https://creighton-primo.hosted.exlibrisgroup.com/primo-explore/search?tab=default_tab&amp;search_scope=EVERYTHING&amp;vid=01CRU&amp;lang=en_US&amp;offset=0&amp;query=any,contains,991005432199702656","Catalog Record")</f>
        <v/>
      </c>
      <c r="AV168">
        <f>HYPERLINK("http://www.worldcat.org/oclc/989","WorldCat Record")</f>
        <v/>
      </c>
      <c r="AW168" t="inlineStr">
        <is>
          <t>1124375:eng</t>
        </is>
      </c>
      <c r="AX168" t="inlineStr">
        <is>
          <t>989</t>
        </is>
      </c>
      <c r="AY168" t="inlineStr">
        <is>
          <t>991005432199702656</t>
        </is>
      </c>
      <c r="AZ168" t="inlineStr">
        <is>
          <t>991005432199702656</t>
        </is>
      </c>
      <c r="BA168" t="inlineStr">
        <is>
          <t>2272705380002656</t>
        </is>
      </c>
      <c r="BB168" t="inlineStr">
        <is>
          <t>BOOK</t>
        </is>
      </c>
      <c r="BE168" t="inlineStr">
        <is>
          <t>32285002726502</t>
        </is>
      </c>
      <c r="BF168" t="inlineStr">
        <is>
          <t>893877536</t>
        </is>
      </c>
    </row>
    <row r="169">
      <c r="A169" t="inlineStr">
        <is>
          <t>No</t>
        </is>
      </c>
      <c r="B169" t="inlineStr">
        <is>
          <t>CURAL</t>
        </is>
      </c>
      <c r="C169" t="inlineStr">
        <is>
          <t>SHELVES</t>
        </is>
      </c>
      <c r="D169" t="inlineStr">
        <is>
          <t>PQ2435.A3 P3</t>
        </is>
      </c>
      <c r="E169" t="inlineStr">
        <is>
          <t>0                      PQ 2435000A  3                  P  3</t>
        </is>
      </c>
      <c r="F169" t="inlineStr">
        <is>
          <t>The red and the black; a chronicle of the nineteenth century, by Stendhal. Translated by Lloyd C. Parks. With an afterword by Donald M. Frame.</t>
        </is>
      </c>
      <c r="H169" t="inlineStr">
        <is>
          <t>No</t>
        </is>
      </c>
      <c r="I169" t="inlineStr">
        <is>
          <t>1</t>
        </is>
      </c>
      <c r="J169" t="inlineStr">
        <is>
          <t>No</t>
        </is>
      </c>
      <c r="K169" t="inlineStr">
        <is>
          <t>No</t>
        </is>
      </c>
      <c r="L169" t="inlineStr">
        <is>
          <t>0</t>
        </is>
      </c>
      <c r="M169" t="inlineStr">
        <is>
          <t>Stendhal, 1783-1842.</t>
        </is>
      </c>
      <c r="N169" t="inlineStr">
        <is>
          <t>New York, New American Library [1970]</t>
        </is>
      </c>
      <c r="O169" t="inlineStr">
        <is>
          <t>1970</t>
        </is>
      </c>
      <c r="Q169" t="inlineStr">
        <is>
          <t>eng</t>
        </is>
      </c>
      <c r="R169" t="inlineStr">
        <is>
          <t>nyu</t>
        </is>
      </c>
      <c r="S169" t="inlineStr">
        <is>
          <t>A Signet classic, CQ492</t>
        </is>
      </c>
      <c r="T169" t="inlineStr">
        <is>
          <t xml:space="preserve">PQ </t>
        </is>
      </c>
      <c r="U169" t="n">
        <v>3</v>
      </c>
      <c r="V169" t="n">
        <v>3</v>
      </c>
      <c r="W169" t="inlineStr">
        <is>
          <t>1994-09-23</t>
        </is>
      </c>
      <c r="X169" t="inlineStr">
        <is>
          <t>1994-09-23</t>
        </is>
      </c>
      <c r="Y169" t="inlineStr">
        <is>
          <t>1991-10-28</t>
        </is>
      </c>
      <c r="Z169" t="inlineStr">
        <is>
          <t>1991-10-28</t>
        </is>
      </c>
      <c r="AA169" t="n">
        <v>154</v>
      </c>
      <c r="AB169" t="n">
        <v>138</v>
      </c>
      <c r="AC169" t="n">
        <v>3328</v>
      </c>
      <c r="AD169" t="n">
        <v>2</v>
      </c>
      <c r="AE169" t="n">
        <v>22</v>
      </c>
      <c r="AF169" t="n">
        <v>0</v>
      </c>
      <c r="AG169" t="n">
        <v>64</v>
      </c>
      <c r="AH169" t="n">
        <v>0</v>
      </c>
      <c r="AI169" t="n">
        <v>28</v>
      </c>
      <c r="AJ169" t="n">
        <v>0</v>
      </c>
      <c r="AK169" t="n">
        <v>11</v>
      </c>
      <c r="AL169" t="n">
        <v>0</v>
      </c>
      <c r="AM169" t="n">
        <v>26</v>
      </c>
      <c r="AN169" t="n">
        <v>0</v>
      </c>
      <c r="AO169" t="n">
        <v>13</v>
      </c>
      <c r="AP169" t="n">
        <v>0</v>
      </c>
      <c r="AQ169" t="n">
        <v>0</v>
      </c>
      <c r="AR169" t="inlineStr">
        <is>
          <t>No</t>
        </is>
      </c>
      <c r="AS169" t="inlineStr">
        <is>
          <t>No</t>
        </is>
      </c>
      <c r="AU169">
        <f>HYPERLINK("https://creighton-primo.hosted.exlibrisgroup.com/primo-explore/search?tab=default_tab&amp;search_scope=EVERYTHING&amp;vid=01CRU&amp;lang=en_US&amp;offset=0&amp;query=any,contains,991000648229702656","Catalog Record")</f>
        <v/>
      </c>
      <c r="AV169">
        <f>HYPERLINK("http://www.worldcat.org/oclc/111940","WorldCat Record")</f>
        <v/>
      </c>
      <c r="AW169" t="inlineStr">
        <is>
          <t>460647:eng</t>
        </is>
      </c>
      <c r="AX169" t="inlineStr">
        <is>
          <t>111940</t>
        </is>
      </c>
      <c r="AY169" t="inlineStr">
        <is>
          <t>991000648229702656</t>
        </is>
      </c>
      <c r="AZ169" t="inlineStr">
        <is>
          <t>991000648229702656</t>
        </is>
      </c>
      <c r="BA169" t="inlineStr">
        <is>
          <t>2268303200002656</t>
        </is>
      </c>
      <c r="BB169" t="inlineStr">
        <is>
          <t>BOOK</t>
        </is>
      </c>
      <c r="BE169" t="inlineStr">
        <is>
          <t>32285000802412</t>
        </is>
      </c>
      <c r="BF169" t="inlineStr">
        <is>
          <t>893528248</t>
        </is>
      </c>
    </row>
    <row r="170">
      <c r="A170" t="inlineStr">
        <is>
          <t>No</t>
        </is>
      </c>
      <c r="B170" t="inlineStr">
        <is>
          <t>CURAL</t>
        </is>
      </c>
      <c r="C170" t="inlineStr">
        <is>
          <t>SHELVES</t>
        </is>
      </c>
      <c r="D170" t="inlineStr">
        <is>
          <t>PQ245 .B413</t>
        </is>
      </c>
      <c r="E170" t="inlineStr">
        <is>
          <t>0                      PQ 0245000B  413</t>
        </is>
      </c>
      <c r="F170" t="inlineStr">
        <is>
          <t>Man and ethics : studies in French classicism / translated by Elizabeth Hughes.</t>
        </is>
      </c>
      <c r="H170" t="inlineStr">
        <is>
          <t>No</t>
        </is>
      </c>
      <c r="I170" t="inlineStr">
        <is>
          <t>1</t>
        </is>
      </c>
      <c r="J170" t="inlineStr">
        <is>
          <t>No</t>
        </is>
      </c>
      <c r="K170" t="inlineStr">
        <is>
          <t>No</t>
        </is>
      </c>
      <c r="L170" t="inlineStr">
        <is>
          <t>0</t>
        </is>
      </c>
      <c r="M170" t="inlineStr">
        <is>
          <t>Bénichou, Paul.</t>
        </is>
      </c>
      <c r="N170" t="inlineStr">
        <is>
          <t>Garden City, N.Y. : Anchor Books, 1971.</t>
        </is>
      </c>
      <c r="O170" t="inlineStr">
        <is>
          <t>1971</t>
        </is>
      </c>
      <c r="Q170" t="inlineStr">
        <is>
          <t>eng</t>
        </is>
      </c>
      <c r="R170" t="inlineStr">
        <is>
          <t>nyu</t>
        </is>
      </c>
      <c r="T170" t="inlineStr">
        <is>
          <t xml:space="preserve">PQ </t>
        </is>
      </c>
      <c r="U170" t="n">
        <v>8</v>
      </c>
      <c r="V170" t="n">
        <v>8</v>
      </c>
      <c r="W170" t="inlineStr">
        <is>
          <t>1999-02-26</t>
        </is>
      </c>
      <c r="X170" t="inlineStr">
        <is>
          <t>1999-02-26</t>
        </is>
      </c>
      <c r="Y170" t="inlineStr">
        <is>
          <t>1993-04-23</t>
        </is>
      </c>
      <c r="Z170" t="inlineStr">
        <is>
          <t>1993-04-23</t>
        </is>
      </c>
      <c r="AA170" t="n">
        <v>665</v>
      </c>
      <c r="AB170" t="n">
        <v>614</v>
      </c>
      <c r="AC170" t="n">
        <v>620</v>
      </c>
      <c r="AD170" t="n">
        <v>6</v>
      </c>
      <c r="AE170" t="n">
        <v>6</v>
      </c>
      <c r="AF170" t="n">
        <v>28</v>
      </c>
      <c r="AG170" t="n">
        <v>28</v>
      </c>
      <c r="AH170" t="n">
        <v>11</v>
      </c>
      <c r="AI170" t="n">
        <v>11</v>
      </c>
      <c r="AJ170" t="n">
        <v>5</v>
      </c>
      <c r="AK170" t="n">
        <v>5</v>
      </c>
      <c r="AL170" t="n">
        <v>13</v>
      </c>
      <c r="AM170" t="n">
        <v>13</v>
      </c>
      <c r="AN170" t="n">
        <v>5</v>
      </c>
      <c r="AO170" t="n">
        <v>5</v>
      </c>
      <c r="AP170" t="n">
        <v>0</v>
      </c>
      <c r="AQ170" t="n">
        <v>0</v>
      </c>
      <c r="AR170" t="inlineStr">
        <is>
          <t>No</t>
        </is>
      </c>
      <c r="AS170" t="inlineStr">
        <is>
          <t>No</t>
        </is>
      </c>
      <c r="AU170">
        <f>HYPERLINK("https://creighton-primo.hosted.exlibrisgroup.com/primo-explore/search?tab=default_tab&amp;search_scope=EVERYTHING&amp;vid=01CRU&amp;lang=en_US&amp;offset=0&amp;query=any,contains,991000890689702656","Catalog Record")</f>
        <v/>
      </c>
      <c r="AV170">
        <f>HYPERLINK("http://www.worldcat.org/oclc/153938","WorldCat Record")</f>
        <v/>
      </c>
      <c r="AW170" t="inlineStr">
        <is>
          <t>1181070:eng</t>
        </is>
      </c>
      <c r="AX170" t="inlineStr">
        <is>
          <t>153938</t>
        </is>
      </c>
      <c r="AY170" t="inlineStr">
        <is>
          <t>991000890689702656</t>
        </is>
      </c>
      <c r="AZ170" t="inlineStr">
        <is>
          <t>991000890689702656</t>
        </is>
      </c>
      <c r="BA170" t="inlineStr">
        <is>
          <t>2255006890002656</t>
        </is>
      </c>
      <c r="BB170" t="inlineStr">
        <is>
          <t>BOOK</t>
        </is>
      </c>
      <c r="BE170" t="inlineStr">
        <is>
          <t>32285001623841</t>
        </is>
      </c>
      <c r="BF170" t="inlineStr">
        <is>
          <t>893872099</t>
        </is>
      </c>
    </row>
    <row r="171">
      <c r="A171" t="inlineStr">
        <is>
          <t>No</t>
        </is>
      </c>
      <c r="B171" t="inlineStr">
        <is>
          <t>CURAL</t>
        </is>
      </c>
      <c r="C171" t="inlineStr">
        <is>
          <t>SHELVES</t>
        </is>
      </c>
      <c r="D171" t="inlineStr">
        <is>
          <t>PQ245 .H35 1992</t>
        </is>
      </c>
      <c r="E171" t="inlineStr">
        <is>
          <t>0                      PQ 0245000H  35          1992</t>
        </is>
      </c>
      <c r="F171" t="inlineStr">
        <is>
          <t>Cartesian women : versions and subversions of rational discourse in the old regime / Erica Harth.</t>
        </is>
      </c>
      <c r="H171" t="inlineStr">
        <is>
          <t>No</t>
        </is>
      </c>
      <c r="I171" t="inlineStr">
        <is>
          <t>1</t>
        </is>
      </c>
      <c r="J171" t="inlineStr">
        <is>
          <t>No</t>
        </is>
      </c>
      <c r="K171" t="inlineStr">
        <is>
          <t>No</t>
        </is>
      </c>
      <c r="L171" t="inlineStr">
        <is>
          <t>0</t>
        </is>
      </c>
      <c r="M171" t="inlineStr">
        <is>
          <t>Harth, Erica.</t>
        </is>
      </c>
      <c r="N171" t="inlineStr">
        <is>
          <t>Ithaca : Cornell University Press, 1992.</t>
        </is>
      </c>
      <c r="O171" t="inlineStr">
        <is>
          <t>1992</t>
        </is>
      </c>
      <c r="Q171" t="inlineStr">
        <is>
          <t>eng</t>
        </is>
      </c>
      <c r="R171" t="inlineStr">
        <is>
          <t>nyu</t>
        </is>
      </c>
      <c r="S171" t="inlineStr">
        <is>
          <t>Reading women writing</t>
        </is>
      </c>
      <c r="T171" t="inlineStr">
        <is>
          <t xml:space="preserve">PQ </t>
        </is>
      </c>
      <c r="U171" t="n">
        <v>2</v>
      </c>
      <c r="V171" t="n">
        <v>2</v>
      </c>
      <c r="W171" t="inlineStr">
        <is>
          <t>1996-02-19</t>
        </is>
      </c>
      <c r="X171" t="inlineStr">
        <is>
          <t>1996-02-19</t>
        </is>
      </c>
      <c r="Y171" t="inlineStr">
        <is>
          <t>1994-12-13</t>
        </is>
      </c>
      <c r="Z171" t="inlineStr">
        <is>
          <t>1994-12-13</t>
        </is>
      </c>
      <c r="AA171" t="n">
        <v>421</v>
      </c>
      <c r="AB171" t="n">
        <v>323</v>
      </c>
      <c r="AC171" t="n">
        <v>501</v>
      </c>
      <c r="AD171" t="n">
        <v>3</v>
      </c>
      <c r="AE171" t="n">
        <v>3</v>
      </c>
      <c r="AF171" t="n">
        <v>18</v>
      </c>
      <c r="AG171" t="n">
        <v>26</v>
      </c>
      <c r="AH171" t="n">
        <v>4</v>
      </c>
      <c r="AI171" t="n">
        <v>10</v>
      </c>
      <c r="AJ171" t="n">
        <v>6</v>
      </c>
      <c r="AK171" t="n">
        <v>8</v>
      </c>
      <c r="AL171" t="n">
        <v>11</v>
      </c>
      <c r="AM171" t="n">
        <v>14</v>
      </c>
      <c r="AN171" t="n">
        <v>2</v>
      </c>
      <c r="AO171" t="n">
        <v>2</v>
      </c>
      <c r="AP171" t="n">
        <v>0</v>
      </c>
      <c r="AQ171" t="n">
        <v>0</v>
      </c>
      <c r="AR171" t="inlineStr">
        <is>
          <t>No</t>
        </is>
      </c>
      <c r="AS171" t="inlineStr">
        <is>
          <t>No</t>
        </is>
      </c>
      <c r="AU171">
        <f>HYPERLINK("https://creighton-primo.hosted.exlibrisgroup.com/primo-explore/search?tab=default_tab&amp;search_scope=EVERYTHING&amp;vid=01CRU&amp;lang=en_US&amp;offset=0&amp;query=any,contains,991001963369702656","Catalog Record")</f>
        <v/>
      </c>
      <c r="AV171">
        <f>HYPERLINK("http://www.worldcat.org/oclc/24871807","WorldCat Record")</f>
        <v/>
      </c>
      <c r="AW171" t="inlineStr">
        <is>
          <t>365168414:eng</t>
        </is>
      </c>
      <c r="AX171" t="inlineStr">
        <is>
          <t>24871807</t>
        </is>
      </c>
      <c r="AY171" t="inlineStr">
        <is>
          <t>991001963369702656</t>
        </is>
      </c>
      <c r="AZ171" t="inlineStr">
        <is>
          <t>991001963369702656</t>
        </is>
      </c>
      <c r="BA171" t="inlineStr">
        <is>
          <t>2262817710002656</t>
        </is>
      </c>
      <c r="BB171" t="inlineStr">
        <is>
          <t>BOOK</t>
        </is>
      </c>
      <c r="BD171" t="inlineStr">
        <is>
          <t>9780801427152</t>
        </is>
      </c>
      <c r="BE171" t="inlineStr">
        <is>
          <t>32285001976264</t>
        </is>
      </c>
      <c r="BF171" t="inlineStr">
        <is>
          <t>893779244</t>
        </is>
      </c>
    </row>
    <row r="172">
      <c r="A172" t="inlineStr">
        <is>
          <t>No</t>
        </is>
      </c>
      <c r="B172" t="inlineStr">
        <is>
          <t>CURAL</t>
        </is>
      </c>
      <c r="C172" t="inlineStr">
        <is>
          <t>SHELVES</t>
        </is>
      </c>
      <c r="D172" t="inlineStr">
        <is>
          <t>PQ245 .M3 1979</t>
        </is>
      </c>
      <c r="E172" t="inlineStr">
        <is>
          <t>0                      PQ 0245000M  3           1979</t>
        </is>
      </c>
      <c r="F172" t="inlineStr">
        <is>
          <t>Aspects of seventeenth-century French drama and thought / Robert McBride.</t>
        </is>
      </c>
      <c r="H172" t="inlineStr">
        <is>
          <t>No</t>
        </is>
      </c>
      <c r="I172" t="inlineStr">
        <is>
          <t>1</t>
        </is>
      </c>
      <c r="J172" t="inlineStr">
        <is>
          <t>No</t>
        </is>
      </c>
      <c r="K172" t="inlineStr">
        <is>
          <t>No</t>
        </is>
      </c>
      <c r="L172" t="inlineStr">
        <is>
          <t>0</t>
        </is>
      </c>
      <c r="M172" t="inlineStr">
        <is>
          <t>McBride, Robert.</t>
        </is>
      </c>
      <c r="N172" t="inlineStr">
        <is>
          <t>Totowa, N.J. : Rowman and Littlefield, 1979.</t>
        </is>
      </c>
      <c r="O172" t="inlineStr">
        <is>
          <t>1979</t>
        </is>
      </c>
      <c r="Q172" t="inlineStr">
        <is>
          <t>eng</t>
        </is>
      </c>
      <c r="R172" t="inlineStr">
        <is>
          <t>nju</t>
        </is>
      </c>
      <c r="T172" t="inlineStr">
        <is>
          <t xml:space="preserve">PQ </t>
        </is>
      </c>
      <c r="U172" t="n">
        <v>7</v>
      </c>
      <c r="V172" t="n">
        <v>7</v>
      </c>
      <c r="W172" t="inlineStr">
        <is>
          <t>1995-01-26</t>
        </is>
      </c>
      <c r="X172" t="inlineStr">
        <is>
          <t>1995-01-26</t>
        </is>
      </c>
      <c r="Y172" t="inlineStr">
        <is>
          <t>1992-08-03</t>
        </is>
      </c>
      <c r="Z172" t="inlineStr">
        <is>
          <t>1992-08-03</t>
        </is>
      </c>
      <c r="AA172" t="n">
        <v>354</v>
      </c>
      <c r="AB172" t="n">
        <v>317</v>
      </c>
      <c r="AC172" t="n">
        <v>374</v>
      </c>
      <c r="AD172" t="n">
        <v>2</v>
      </c>
      <c r="AE172" t="n">
        <v>3</v>
      </c>
      <c r="AF172" t="n">
        <v>13</v>
      </c>
      <c r="AG172" t="n">
        <v>15</v>
      </c>
      <c r="AH172" t="n">
        <v>2</v>
      </c>
      <c r="AI172" t="n">
        <v>3</v>
      </c>
      <c r="AJ172" t="n">
        <v>6</v>
      </c>
      <c r="AK172" t="n">
        <v>6</v>
      </c>
      <c r="AL172" t="n">
        <v>6</v>
      </c>
      <c r="AM172" t="n">
        <v>7</v>
      </c>
      <c r="AN172" t="n">
        <v>1</v>
      </c>
      <c r="AO172" t="n">
        <v>2</v>
      </c>
      <c r="AP172" t="n">
        <v>0</v>
      </c>
      <c r="AQ172" t="n">
        <v>0</v>
      </c>
      <c r="AR172" t="inlineStr">
        <is>
          <t>No</t>
        </is>
      </c>
      <c r="AS172" t="inlineStr">
        <is>
          <t>Yes</t>
        </is>
      </c>
      <c r="AT172">
        <f>HYPERLINK("http://catalog.hathitrust.org/Record/000692265","HathiTrust Record")</f>
        <v/>
      </c>
      <c r="AU172">
        <f>HYPERLINK("https://creighton-primo.hosted.exlibrisgroup.com/primo-explore/search?tab=default_tab&amp;search_scope=EVERYTHING&amp;vid=01CRU&amp;lang=en_US&amp;offset=0&amp;query=any,contains,991004654129702656","Catalog Record")</f>
        <v/>
      </c>
      <c r="AV172">
        <f>HYPERLINK("http://www.worldcat.org/oclc/4494796","WorldCat Record")</f>
        <v/>
      </c>
      <c r="AW172" t="inlineStr">
        <is>
          <t>16020581:eng</t>
        </is>
      </c>
      <c r="AX172" t="inlineStr">
        <is>
          <t>4494796</t>
        </is>
      </c>
      <c r="AY172" t="inlineStr">
        <is>
          <t>991004654129702656</t>
        </is>
      </c>
      <c r="AZ172" t="inlineStr">
        <is>
          <t>991004654129702656</t>
        </is>
      </c>
      <c r="BA172" t="inlineStr">
        <is>
          <t>2265358660002656</t>
        </is>
      </c>
      <c r="BB172" t="inlineStr">
        <is>
          <t>BOOK</t>
        </is>
      </c>
      <c r="BD172" t="inlineStr">
        <is>
          <t>9780847661374</t>
        </is>
      </c>
      <c r="BE172" t="inlineStr">
        <is>
          <t>32285001250884</t>
        </is>
      </c>
      <c r="BF172" t="inlineStr">
        <is>
          <t>893624930</t>
        </is>
      </c>
    </row>
    <row r="173">
      <c r="A173" t="inlineStr">
        <is>
          <t>No</t>
        </is>
      </c>
      <c r="B173" t="inlineStr">
        <is>
          <t>CURAL</t>
        </is>
      </c>
      <c r="C173" t="inlineStr">
        <is>
          <t>SHELVES</t>
        </is>
      </c>
      <c r="D173" t="inlineStr">
        <is>
          <t>PQ245 .S7 1980</t>
        </is>
      </c>
      <c r="E173" t="inlineStr">
        <is>
          <t>0                      PQ 0245000S  7           1980</t>
        </is>
      </c>
      <c r="F173" t="inlineStr">
        <is>
          <t>The aristocrat as art : a study of the honnête homme and the dandy in seventeenth- and nineteenth-century French literature / Domna C. Stanton.</t>
        </is>
      </c>
      <c r="H173" t="inlineStr">
        <is>
          <t>No</t>
        </is>
      </c>
      <c r="I173" t="inlineStr">
        <is>
          <t>1</t>
        </is>
      </c>
      <c r="J173" t="inlineStr">
        <is>
          <t>No</t>
        </is>
      </c>
      <c r="K173" t="inlineStr">
        <is>
          <t>No</t>
        </is>
      </c>
      <c r="L173" t="inlineStr">
        <is>
          <t>0</t>
        </is>
      </c>
      <c r="M173" t="inlineStr">
        <is>
          <t>Stanton, Domna C.</t>
        </is>
      </c>
      <c r="N173" t="inlineStr">
        <is>
          <t>New York : Columbia University Press, 1980.</t>
        </is>
      </c>
      <c r="O173" t="inlineStr">
        <is>
          <t>1980</t>
        </is>
      </c>
      <c r="Q173" t="inlineStr">
        <is>
          <t>eng</t>
        </is>
      </c>
      <c r="R173" t="inlineStr">
        <is>
          <t>nyu</t>
        </is>
      </c>
      <c r="T173" t="inlineStr">
        <is>
          <t xml:space="preserve">PQ </t>
        </is>
      </c>
      <c r="U173" t="n">
        <v>6</v>
      </c>
      <c r="V173" t="n">
        <v>6</v>
      </c>
      <c r="W173" t="inlineStr">
        <is>
          <t>2004-11-01</t>
        </is>
      </c>
      <c r="X173" t="inlineStr">
        <is>
          <t>2004-11-01</t>
        </is>
      </c>
      <c r="Y173" t="inlineStr">
        <is>
          <t>1992-08-03</t>
        </is>
      </c>
      <c r="Z173" t="inlineStr">
        <is>
          <t>1992-08-03</t>
        </is>
      </c>
      <c r="AA173" t="n">
        <v>474</v>
      </c>
      <c r="AB173" t="n">
        <v>360</v>
      </c>
      <c r="AC173" t="n">
        <v>376</v>
      </c>
      <c r="AD173" t="n">
        <v>3</v>
      </c>
      <c r="AE173" t="n">
        <v>3</v>
      </c>
      <c r="AF173" t="n">
        <v>16</v>
      </c>
      <c r="AG173" t="n">
        <v>17</v>
      </c>
      <c r="AH173" t="n">
        <v>3</v>
      </c>
      <c r="AI173" t="n">
        <v>3</v>
      </c>
      <c r="AJ173" t="n">
        <v>6</v>
      </c>
      <c r="AK173" t="n">
        <v>7</v>
      </c>
      <c r="AL173" t="n">
        <v>9</v>
      </c>
      <c r="AM173" t="n">
        <v>10</v>
      </c>
      <c r="AN173" t="n">
        <v>2</v>
      </c>
      <c r="AO173" t="n">
        <v>2</v>
      </c>
      <c r="AP173" t="n">
        <v>0</v>
      </c>
      <c r="AQ173" t="n">
        <v>0</v>
      </c>
      <c r="AR173" t="inlineStr">
        <is>
          <t>No</t>
        </is>
      </c>
      <c r="AS173" t="inlineStr">
        <is>
          <t>No</t>
        </is>
      </c>
      <c r="AU173">
        <f>HYPERLINK("https://creighton-primo.hosted.exlibrisgroup.com/primo-explore/search?tab=default_tab&amp;search_scope=EVERYTHING&amp;vid=01CRU&amp;lang=en_US&amp;offset=0&amp;query=any,contains,991004791849702656","Catalog Record")</f>
        <v/>
      </c>
      <c r="AV173">
        <f>HYPERLINK("http://www.worldcat.org/oclc/5171417","WorldCat Record")</f>
        <v/>
      </c>
      <c r="AW173" t="inlineStr">
        <is>
          <t>863899965:eng</t>
        </is>
      </c>
      <c r="AX173" t="inlineStr">
        <is>
          <t>5171417</t>
        </is>
      </c>
      <c r="AY173" t="inlineStr">
        <is>
          <t>991004791849702656</t>
        </is>
      </c>
      <c r="AZ173" t="inlineStr">
        <is>
          <t>991004791849702656</t>
        </is>
      </c>
      <c r="BA173" t="inlineStr">
        <is>
          <t>2259140450002656</t>
        </is>
      </c>
      <c r="BB173" t="inlineStr">
        <is>
          <t>BOOK</t>
        </is>
      </c>
      <c r="BD173" t="inlineStr">
        <is>
          <t>9780231039031</t>
        </is>
      </c>
      <c r="BE173" t="inlineStr">
        <is>
          <t>32285001250892</t>
        </is>
      </c>
      <c r="BF173" t="inlineStr">
        <is>
          <t>893418027</t>
        </is>
      </c>
    </row>
    <row r="174">
      <c r="A174" t="inlineStr">
        <is>
          <t>No</t>
        </is>
      </c>
      <c r="B174" t="inlineStr">
        <is>
          <t>CURAL</t>
        </is>
      </c>
      <c r="C174" t="inlineStr">
        <is>
          <t>SHELVES</t>
        </is>
      </c>
      <c r="D174" t="inlineStr">
        <is>
          <t>PQ2528 .J6</t>
        </is>
      </c>
      <c r="E174" t="inlineStr">
        <is>
          <t>0                      PQ 2528000J  6</t>
        </is>
      </c>
      <c r="F174" t="inlineStr">
        <is>
          <t>Zola and his time : the history of his martial career in letters : with an account of his circle of friends, his remarkable enemies, cyclopean labors, public campaigns, trials, and ultimate glorification / by Matthew Josephson.</t>
        </is>
      </c>
      <c r="H174" t="inlineStr">
        <is>
          <t>No</t>
        </is>
      </c>
      <c r="I174" t="inlineStr">
        <is>
          <t>1</t>
        </is>
      </c>
      <c r="J174" t="inlineStr">
        <is>
          <t>No</t>
        </is>
      </c>
      <c r="K174" t="inlineStr">
        <is>
          <t>No</t>
        </is>
      </c>
      <c r="L174" t="inlineStr">
        <is>
          <t>0</t>
        </is>
      </c>
      <c r="M174" t="inlineStr">
        <is>
          <t>Josephson, Matthew, 1899-1978.</t>
        </is>
      </c>
      <c r="N174" t="inlineStr">
        <is>
          <t>Garden City, N.Y. : Garden City Pub. Co., c1928.</t>
        </is>
      </c>
      <c r="O174" t="inlineStr">
        <is>
          <t>1928</t>
        </is>
      </c>
      <c r="Q174" t="inlineStr">
        <is>
          <t>eng</t>
        </is>
      </c>
      <c r="R174" t="inlineStr">
        <is>
          <t>nyu</t>
        </is>
      </c>
      <c r="T174" t="inlineStr">
        <is>
          <t xml:space="preserve">PQ </t>
        </is>
      </c>
      <c r="U174" t="n">
        <v>4</v>
      </c>
      <c r="V174" t="n">
        <v>4</v>
      </c>
      <c r="W174" t="inlineStr">
        <is>
          <t>2003-12-13</t>
        </is>
      </c>
      <c r="X174" t="inlineStr">
        <is>
          <t>2003-12-13</t>
        </is>
      </c>
      <c r="Y174" t="inlineStr">
        <is>
          <t>1993-03-26</t>
        </is>
      </c>
      <c r="Z174" t="inlineStr">
        <is>
          <t>1993-03-26</t>
        </is>
      </c>
      <c r="AA174" t="n">
        <v>231</v>
      </c>
      <c r="AB174" t="n">
        <v>220</v>
      </c>
      <c r="AC174" t="n">
        <v>817</v>
      </c>
      <c r="AD174" t="n">
        <v>5</v>
      </c>
      <c r="AE174" t="n">
        <v>8</v>
      </c>
      <c r="AF174" t="n">
        <v>9</v>
      </c>
      <c r="AG174" t="n">
        <v>38</v>
      </c>
      <c r="AH174" t="n">
        <v>2</v>
      </c>
      <c r="AI174" t="n">
        <v>16</v>
      </c>
      <c r="AJ174" t="n">
        <v>1</v>
      </c>
      <c r="AK174" t="n">
        <v>8</v>
      </c>
      <c r="AL174" t="n">
        <v>3</v>
      </c>
      <c r="AM174" t="n">
        <v>18</v>
      </c>
      <c r="AN174" t="n">
        <v>4</v>
      </c>
      <c r="AO174" t="n">
        <v>7</v>
      </c>
      <c r="AP174" t="n">
        <v>0</v>
      </c>
      <c r="AQ174" t="n">
        <v>0</v>
      </c>
      <c r="AR174" t="inlineStr">
        <is>
          <t>No</t>
        </is>
      </c>
      <c r="AS174" t="inlineStr">
        <is>
          <t>No</t>
        </is>
      </c>
      <c r="AU174">
        <f>HYPERLINK("https://creighton-primo.hosted.exlibrisgroup.com/primo-explore/search?tab=default_tab&amp;search_scope=EVERYTHING&amp;vid=01CRU&amp;lang=en_US&amp;offset=0&amp;query=any,contains,991004633299702656","Catalog Record")</f>
        <v/>
      </c>
      <c r="AV174">
        <f>HYPERLINK("http://www.worldcat.org/oclc/4387586","WorldCat Record")</f>
        <v/>
      </c>
      <c r="AW174" t="inlineStr">
        <is>
          <t>1125011:eng</t>
        </is>
      </c>
      <c r="AX174" t="inlineStr">
        <is>
          <t>4387586</t>
        </is>
      </c>
      <c r="AY174" t="inlineStr">
        <is>
          <t>991004633299702656</t>
        </is>
      </c>
      <c r="AZ174" t="inlineStr">
        <is>
          <t>991004633299702656</t>
        </is>
      </c>
      <c r="BA174" t="inlineStr">
        <is>
          <t>2262465270002656</t>
        </is>
      </c>
      <c r="BB174" t="inlineStr">
        <is>
          <t>BOOK</t>
        </is>
      </c>
      <c r="BE174" t="inlineStr">
        <is>
          <t>32285001591659</t>
        </is>
      </c>
      <c r="BF174" t="inlineStr">
        <is>
          <t>893776230</t>
        </is>
      </c>
    </row>
    <row r="175">
      <c r="A175" t="inlineStr">
        <is>
          <t>No</t>
        </is>
      </c>
      <c r="B175" t="inlineStr">
        <is>
          <t>CURAL</t>
        </is>
      </c>
      <c r="C175" t="inlineStr">
        <is>
          <t>SHELVES</t>
        </is>
      </c>
      <c r="D175" t="inlineStr">
        <is>
          <t>PQ2538 .G7</t>
        </is>
      </c>
      <c r="E175" t="inlineStr">
        <is>
          <t>0                      PQ 2538000G  7</t>
        </is>
      </c>
      <c r="F175" t="inlineStr">
        <is>
          <t>Émile Zola / by Elliott M. Grant.</t>
        </is>
      </c>
      <c r="H175" t="inlineStr">
        <is>
          <t>No</t>
        </is>
      </c>
      <c r="I175" t="inlineStr">
        <is>
          <t>1</t>
        </is>
      </c>
      <c r="J175" t="inlineStr">
        <is>
          <t>No</t>
        </is>
      </c>
      <c r="K175" t="inlineStr">
        <is>
          <t>No</t>
        </is>
      </c>
      <c r="L175" t="inlineStr">
        <is>
          <t>0</t>
        </is>
      </c>
      <c r="M175" t="inlineStr">
        <is>
          <t>Grant, Elliott Mansfield, 1895-1969.</t>
        </is>
      </c>
      <c r="N175" t="inlineStr">
        <is>
          <t>New York : Twayne Publishers, [1966]</t>
        </is>
      </c>
      <c r="O175" t="inlineStr">
        <is>
          <t>1966</t>
        </is>
      </c>
      <c r="Q175" t="inlineStr">
        <is>
          <t>eng</t>
        </is>
      </c>
      <c r="R175" t="inlineStr">
        <is>
          <t>nyu</t>
        </is>
      </c>
      <c r="S175" t="inlineStr">
        <is>
          <t>Twayne's world authors series, 10. France</t>
        </is>
      </c>
      <c r="T175" t="inlineStr">
        <is>
          <t xml:space="preserve">PQ </t>
        </is>
      </c>
      <c r="U175" t="n">
        <v>4</v>
      </c>
      <c r="V175" t="n">
        <v>4</v>
      </c>
      <c r="W175" t="inlineStr">
        <is>
          <t>2004-02-26</t>
        </is>
      </c>
      <c r="X175" t="inlineStr">
        <is>
          <t>2004-02-26</t>
        </is>
      </c>
      <c r="Y175" t="inlineStr">
        <is>
          <t>1991-05-09</t>
        </is>
      </c>
      <c r="Z175" t="inlineStr">
        <is>
          <t>1991-05-09</t>
        </is>
      </c>
      <c r="AA175" t="n">
        <v>1317</v>
      </c>
      <c r="AB175" t="n">
        <v>1199</v>
      </c>
      <c r="AC175" t="n">
        <v>1211</v>
      </c>
      <c r="AD175" t="n">
        <v>10</v>
      </c>
      <c r="AE175" t="n">
        <v>10</v>
      </c>
      <c r="AF175" t="n">
        <v>41</v>
      </c>
      <c r="AG175" t="n">
        <v>43</v>
      </c>
      <c r="AH175" t="n">
        <v>15</v>
      </c>
      <c r="AI175" t="n">
        <v>16</v>
      </c>
      <c r="AJ175" t="n">
        <v>7</v>
      </c>
      <c r="AK175" t="n">
        <v>9</v>
      </c>
      <c r="AL175" t="n">
        <v>20</v>
      </c>
      <c r="AM175" t="n">
        <v>21</v>
      </c>
      <c r="AN175" t="n">
        <v>8</v>
      </c>
      <c r="AO175" t="n">
        <v>8</v>
      </c>
      <c r="AP175" t="n">
        <v>0</v>
      </c>
      <c r="AQ175" t="n">
        <v>0</v>
      </c>
      <c r="AR175" t="inlineStr">
        <is>
          <t>No</t>
        </is>
      </c>
      <c r="AS175" t="inlineStr">
        <is>
          <t>Yes</t>
        </is>
      </c>
      <c r="AT175">
        <f>HYPERLINK("http://catalog.hathitrust.org/Record/001015214","HathiTrust Record")</f>
        <v/>
      </c>
      <c r="AU175">
        <f>HYPERLINK("https://creighton-primo.hosted.exlibrisgroup.com/primo-explore/search?tab=default_tab&amp;search_scope=EVERYTHING&amp;vid=01CRU&amp;lang=en_US&amp;offset=0&amp;query=any,contains,991002410849702656","Catalog Record")</f>
        <v/>
      </c>
      <c r="AV175">
        <f>HYPERLINK("http://www.worldcat.org/oclc/339625","WorldCat Record")</f>
        <v/>
      </c>
      <c r="AW175" t="inlineStr">
        <is>
          <t>1469147:eng</t>
        </is>
      </c>
      <c r="AX175" t="inlineStr">
        <is>
          <t>339625</t>
        </is>
      </c>
      <c r="AY175" t="inlineStr">
        <is>
          <t>991002410849702656</t>
        </is>
      </c>
      <c r="AZ175" t="inlineStr">
        <is>
          <t>991002410849702656</t>
        </is>
      </c>
      <c r="BA175" t="inlineStr">
        <is>
          <t>2259024590002656</t>
        </is>
      </c>
      <c r="BB175" t="inlineStr">
        <is>
          <t>BOOK</t>
        </is>
      </c>
      <c r="BE175" t="inlineStr">
        <is>
          <t>32285000603265</t>
        </is>
      </c>
      <c r="BF175" t="inlineStr">
        <is>
          <t>893409066</t>
        </is>
      </c>
    </row>
    <row r="176">
      <c r="A176" t="inlineStr">
        <is>
          <t>No</t>
        </is>
      </c>
      <c r="B176" t="inlineStr">
        <is>
          <t>CURAL</t>
        </is>
      </c>
      <c r="C176" t="inlineStr">
        <is>
          <t>SHELVES</t>
        </is>
      </c>
      <c r="D176" t="inlineStr">
        <is>
          <t>PQ2601.N67 Z617</t>
        </is>
      </c>
      <c r="E176" t="inlineStr">
        <is>
          <t>0                      PQ 2601000N  67                 Z  617</t>
        </is>
      </c>
      <c r="F176" t="inlineStr">
        <is>
          <t>Anouilh; a study in theatrics, by John Harvey.</t>
        </is>
      </c>
      <c r="H176" t="inlineStr">
        <is>
          <t>No</t>
        </is>
      </c>
      <c r="I176" t="inlineStr">
        <is>
          <t>1</t>
        </is>
      </c>
      <c r="J176" t="inlineStr">
        <is>
          <t>No</t>
        </is>
      </c>
      <c r="K176" t="inlineStr">
        <is>
          <t>No</t>
        </is>
      </c>
      <c r="L176" t="inlineStr">
        <is>
          <t>0</t>
        </is>
      </c>
      <c r="M176" t="inlineStr">
        <is>
          <t>Harvey, John Edmond, 1932-</t>
        </is>
      </c>
      <c r="N176" t="inlineStr">
        <is>
          <t>New Haven, Yale University Press, 1964.</t>
        </is>
      </c>
      <c r="O176" t="inlineStr">
        <is>
          <t>1964</t>
        </is>
      </c>
      <c r="Q176" t="inlineStr">
        <is>
          <t>eng</t>
        </is>
      </c>
      <c r="R176" t="inlineStr">
        <is>
          <t>ctu</t>
        </is>
      </c>
      <c r="S176" t="inlineStr">
        <is>
          <t>Yale Romanic studies, 2d ser., 13</t>
        </is>
      </c>
      <c r="T176" t="inlineStr">
        <is>
          <t xml:space="preserve">PQ </t>
        </is>
      </c>
      <c r="U176" t="n">
        <v>2</v>
      </c>
      <c r="V176" t="n">
        <v>2</v>
      </c>
      <c r="W176" t="inlineStr">
        <is>
          <t>1993-04-15</t>
        </is>
      </c>
      <c r="X176" t="inlineStr">
        <is>
          <t>1993-04-15</t>
        </is>
      </c>
      <c r="Y176" t="inlineStr">
        <is>
          <t>1992-04-13</t>
        </is>
      </c>
      <c r="Z176" t="inlineStr">
        <is>
          <t>1992-04-13</t>
        </is>
      </c>
      <c r="AA176" t="n">
        <v>1158</v>
      </c>
      <c r="AB176" t="n">
        <v>1003</v>
      </c>
      <c r="AC176" t="n">
        <v>1026</v>
      </c>
      <c r="AD176" t="n">
        <v>11</v>
      </c>
      <c r="AE176" t="n">
        <v>11</v>
      </c>
      <c r="AF176" t="n">
        <v>45</v>
      </c>
      <c r="AG176" t="n">
        <v>45</v>
      </c>
      <c r="AH176" t="n">
        <v>20</v>
      </c>
      <c r="AI176" t="n">
        <v>20</v>
      </c>
      <c r="AJ176" t="n">
        <v>6</v>
      </c>
      <c r="AK176" t="n">
        <v>6</v>
      </c>
      <c r="AL176" t="n">
        <v>18</v>
      </c>
      <c r="AM176" t="n">
        <v>18</v>
      </c>
      <c r="AN176" t="n">
        <v>10</v>
      </c>
      <c r="AO176" t="n">
        <v>10</v>
      </c>
      <c r="AP176" t="n">
        <v>0</v>
      </c>
      <c r="AQ176" t="n">
        <v>0</v>
      </c>
      <c r="AR176" t="inlineStr">
        <is>
          <t>No</t>
        </is>
      </c>
      <c r="AS176" t="inlineStr">
        <is>
          <t>Yes</t>
        </is>
      </c>
      <c r="AT176">
        <f>HYPERLINK("http://catalog.hathitrust.org/Record/001015228","HathiTrust Record")</f>
        <v/>
      </c>
      <c r="AU176">
        <f>HYPERLINK("https://creighton-primo.hosted.exlibrisgroup.com/primo-explore/search?tab=default_tab&amp;search_scope=EVERYTHING&amp;vid=01CRU&amp;lang=en_US&amp;offset=0&amp;query=any,contains,991001022279702656","Catalog Record")</f>
        <v/>
      </c>
      <c r="AV176">
        <f>HYPERLINK("http://www.worldcat.org/oclc/174009","WorldCat Record")</f>
        <v/>
      </c>
      <c r="AW176" t="inlineStr">
        <is>
          <t>1304679:eng</t>
        </is>
      </c>
      <c r="AX176" t="inlineStr">
        <is>
          <t>174009</t>
        </is>
      </c>
      <c r="AY176" t="inlineStr">
        <is>
          <t>991001022279702656</t>
        </is>
      </c>
      <c r="AZ176" t="inlineStr">
        <is>
          <t>991001022279702656</t>
        </is>
      </c>
      <c r="BA176" t="inlineStr">
        <is>
          <t>2266448920002656</t>
        </is>
      </c>
      <c r="BB176" t="inlineStr">
        <is>
          <t>BOOK</t>
        </is>
      </c>
      <c r="BE176" t="inlineStr">
        <is>
          <t>32285001053056</t>
        </is>
      </c>
      <c r="BF176" t="inlineStr">
        <is>
          <t>893346174</t>
        </is>
      </c>
    </row>
    <row r="177">
      <c r="A177" t="inlineStr">
        <is>
          <t>No</t>
        </is>
      </c>
      <c r="B177" t="inlineStr">
        <is>
          <t>CURAL</t>
        </is>
      </c>
      <c r="C177" t="inlineStr">
        <is>
          <t>SHELVES</t>
        </is>
      </c>
      <c r="D177" t="inlineStr">
        <is>
          <t>PQ2601.N67 Z72</t>
        </is>
      </c>
      <c r="E177" t="inlineStr">
        <is>
          <t>0                      PQ 2601000N  67                 Z  72</t>
        </is>
      </c>
      <c r="F177" t="inlineStr">
        <is>
          <t>The theatre of Jean Anouilh / H.G. McIntyre.</t>
        </is>
      </c>
      <c r="H177" t="inlineStr">
        <is>
          <t>No</t>
        </is>
      </c>
      <c r="I177" t="inlineStr">
        <is>
          <t>1</t>
        </is>
      </c>
      <c r="J177" t="inlineStr">
        <is>
          <t>No</t>
        </is>
      </c>
      <c r="K177" t="inlineStr">
        <is>
          <t>No</t>
        </is>
      </c>
      <c r="L177" t="inlineStr">
        <is>
          <t>0</t>
        </is>
      </c>
      <c r="M177" t="inlineStr">
        <is>
          <t>McIntyre, H. G.</t>
        </is>
      </c>
      <c r="N177" t="inlineStr">
        <is>
          <t>Totowa, N.J. : Barnes &amp; Noble, 1981.</t>
        </is>
      </c>
      <c r="O177" t="inlineStr">
        <is>
          <t>1981</t>
        </is>
      </c>
      <c r="Q177" t="inlineStr">
        <is>
          <t>eng</t>
        </is>
      </c>
      <c r="R177" t="inlineStr">
        <is>
          <t>nju</t>
        </is>
      </c>
      <c r="T177" t="inlineStr">
        <is>
          <t xml:space="preserve">PQ </t>
        </is>
      </c>
      <c r="U177" t="n">
        <v>2</v>
      </c>
      <c r="V177" t="n">
        <v>2</v>
      </c>
      <c r="W177" t="inlineStr">
        <is>
          <t>1993-04-15</t>
        </is>
      </c>
      <c r="X177" t="inlineStr">
        <is>
          <t>1993-04-15</t>
        </is>
      </c>
      <c r="Y177" t="inlineStr">
        <is>
          <t>1991-05-09</t>
        </is>
      </c>
      <c r="Z177" t="inlineStr">
        <is>
          <t>1991-05-09</t>
        </is>
      </c>
      <c r="AA177" t="n">
        <v>450</v>
      </c>
      <c r="AB177" t="n">
        <v>397</v>
      </c>
      <c r="AC177" t="n">
        <v>455</v>
      </c>
      <c r="AD177" t="n">
        <v>3</v>
      </c>
      <c r="AE177" t="n">
        <v>3</v>
      </c>
      <c r="AF177" t="n">
        <v>23</v>
      </c>
      <c r="AG177" t="n">
        <v>24</v>
      </c>
      <c r="AH177" t="n">
        <v>11</v>
      </c>
      <c r="AI177" t="n">
        <v>12</v>
      </c>
      <c r="AJ177" t="n">
        <v>2</v>
      </c>
      <c r="AK177" t="n">
        <v>2</v>
      </c>
      <c r="AL177" t="n">
        <v>12</v>
      </c>
      <c r="AM177" t="n">
        <v>13</v>
      </c>
      <c r="AN177" t="n">
        <v>2</v>
      </c>
      <c r="AO177" t="n">
        <v>2</v>
      </c>
      <c r="AP177" t="n">
        <v>0</v>
      </c>
      <c r="AQ177" t="n">
        <v>0</v>
      </c>
      <c r="AR177" t="inlineStr">
        <is>
          <t>No</t>
        </is>
      </c>
      <c r="AS177" t="inlineStr">
        <is>
          <t>Yes</t>
        </is>
      </c>
      <c r="AT177">
        <f>HYPERLINK("http://catalog.hathitrust.org/Record/000766109","HathiTrust Record")</f>
        <v/>
      </c>
      <c r="AU177">
        <f>HYPERLINK("https://creighton-primo.hosted.exlibrisgroup.com/primo-explore/search?tab=default_tab&amp;search_scope=EVERYTHING&amp;vid=01CRU&amp;lang=en_US&amp;offset=0&amp;query=any,contains,991005157739702656","Catalog Record")</f>
        <v/>
      </c>
      <c r="AV177">
        <f>HYPERLINK("http://www.worldcat.org/oclc/7746858","WorldCat Record")</f>
        <v/>
      </c>
      <c r="AW177" t="inlineStr">
        <is>
          <t>458697:eng</t>
        </is>
      </c>
      <c r="AX177" t="inlineStr">
        <is>
          <t>7746858</t>
        </is>
      </c>
      <c r="AY177" t="inlineStr">
        <is>
          <t>991005157739702656</t>
        </is>
      </c>
      <c r="AZ177" t="inlineStr">
        <is>
          <t>991005157739702656</t>
        </is>
      </c>
      <c r="BA177" t="inlineStr">
        <is>
          <t>2260297470002656</t>
        </is>
      </c>
      <c r="BB177" t="inlineStr">
        <is>
          <t>BOOK</t>
        </is>
      </c>
      <c r="BD177" t="inlineStr">
        <is>
          <t>9780389201823</t>
        </is>
      </c>
      <c r="BE177" t="inlineStr">
        <is>
          <t>32285000603315</t>
        </is>
      </c>
      <c r="BF177" t="inlineStr">
        <is>
          <t>893527011</t>
        </is>
      </c>
    </row>
    <row r="178">
      <c r="A178" t="inlineStr">
        <is>
          <t>No</t>
        </is>
      </c>
      <c r="B178" t="inlineStr">
        <is>
          <t>CURAL</t>
        </is>
      </c>
      <c r="C178" t="inlineStr">
        <is>
          <t>SHELVES</t>
        </is>
      </c>
      <c r="D178" t="inlineStr">
        <is>
          <t>PQ2601.P6 A28 1971</t>
        </is>
      </c>
      <c r="E178" t="inlineStr">
        <is>
          <t>0                      PQ 2601000P  6                  A  28          1971</t>
        </is>
      </c>
      <c r="F178" t="inlineStr">
        <is>
          <t>Selected writings of Guillaume Apollinaire / translated with a critical introduction by Roger Shattuck.</t>
        </is>
      </c>
      <c r="H178" t="inlineStr">
        <is>
          <t>No</t>
        </is>
      </c>
      <c r="I178" t="inlineStr">
        <is>
          <t>1</t>
        </is>
      </c>
      <c r="J178" t="inlineStr">
        <is>
          <t>No</t>
        </is>
      </c>
      <c r="K178" t="inlineStr">
        <is>
          <t>No</t>
        </is>
      </c>
      <c r="L178" t="inlineStr">
        <is>
          <t>0</t>
        </is>
      </c>
      <c r="M178" t="inlineStr">
        <is>
          <t>Apollinaire, Guillaume, 1880-1918.</t>
        </is>
      </c>
      <c r="N178" t="inlineStr">
        <is>
          <t>New York : New Directions Pub. Corp., c1971.</t>
        </is>
      </c>
      <c r="O178" t="inlineStr">
        <is>
          <t>1971</t>
        </is>
      </c>
      <c r="Q178" t="inlineStr">
        <is>
          <t>eng</t>
        </is>
      </c>
      <c r="R178" t="inlineStr">
        <is>
          <t>nyu</t>
        </is>
      </c>
      <c r="S178" t="inlineStr">
        <is>
          <t>A New Directions paperbook, NDP310</t>
        </is>
      </c>
      <c r="T178" t="inlineStr">
        <is>
          <t xml:space="preserve">PQ </t>
        </is>
      </c>
      <c r="U178" t="n">
        <v>2</v>
      </c>
      <c r="V178" t="n">
        <v>2</v>
      </c>
      <c r="W178" t="inlineStr">
        <is>
          <t>2008-03-26</t>
        </is>
      </c>
      <c r="X178" t="inlineStr">
        <is>
          <t>2008-03-26</t>
        </is>
      </c>
      <c r="Y178" t="inlineStr">
        <is>
          <t>2008-03-26</t>
        </is>
      </c>
      <c r="Z178" t="inlineStr">
        <is>
          <t>2008-03-26</t>
        </is>
      </c>
      <c r="AA178" t="n">
        <v>402</v>
      </c>
      <c r="AB178" t="n">
        <v>356</v>
      </c>
      <c r="AC178" t="n">
        <v>358</v>
      </c>
      <c r="AD178" t="n">
        <v>2</v>
      </c>
      <c r="AE178" t="n">
        <v>2</v>
      </c>
      <c r="AF178" t="n">
        <v>15</v>
      </c>
      <c r="AG178" t="n">
        <v>15</v>
      </c>
      <c r="AH178" t="n">
        <v>8</v>
      </c>
      <c r="AI178" t="n">
        <v>8</v>
      </c>
      <c r="AJ178" t="n">
        <v>3</v>
      </c>
      <c r="AK178" t="n">
        <v>3</v>
      </c>
      <c r="AL178" t="n">
        <v>8</v>
      </c>
      <c r="AM178" t="n">
        <v>8</v>
      </c>
      <c r="AN178" t="n">
        <v>1</v>
      </c>
      <c r="AO178" t="n">
        <v>1</v>
      </c>
      <c r="AP178" t="n">
        <v>0</v>
      </c>
      <c r="AQ178" t="n">
        <v>0</v>
      </c>
      <c r="AR178" t="inlineStr">
        <is>
          <t>No</t>
        </is>
      </c>
      <c r="AS178" t="inlineStr">
        <is>
          <t>No</t>
        </is>
      </c>
      <c r="AU178">
        <f>HYPERLINK("https://creighton-primo.hosted.exlibrisgroup.com/primo-explore/search?tab=default_tab&amp;search_scope=EVERYTHING&amp;vid=01CRU&amp;lang=en_US&amp;offset=0&amp;query=any,contains,991005197789702656","Catalog Record")</f>
        <v/>
      </c>
      <c r="AV178">
        <f>HYPERLINK("http://www.worldcat.org/oclc/135343","WorldCat Record")</f>
        <v/>
      </c>
      <c r="AW178" t="inlineStr">
        <is>
          <t>5164560762:eng</t>
        </is>
      </c>
      <c r="AX178" t="inlineStr">
        <is>
          <t>135343</t>
        </is>
      </c>
      <c r="AY178" t="inlineStr">
        <is>
          <t>991005197789702656</t>
        </is>
      </c>
      <c r="AZ178" t="inlineStr">
        <is>
          <t>991005197789702656</t>
        </is>
      </c>
      <c r="BA178" t="inlineStr">
        <is>
          <t>2263435040002656</t>
        </is>
      </c>
      <c r="BB178" t="inlineStr">
        <is>
          <t>BOOK</t>
        </is>
      </c>
      <c r="BD178" t="inlineStr">
        <is>
          <t>9780811200035</t>
        </is>
      </c>
      <c r="BE178" t="inlineStr">
        <is>
          <t>32285005398739</t>
        </is>
      </c>
      <c r="BF178" t="inlineStr">
        <is>
          <t>893248527</t>
        </is>
      </c>
    </row>
    <row r="179">
      <c r="A179" t="inlineStr">
        <is>
          <t>No</t>
        </is>
      </c>
      <c r="B179" t="inlineStr">
        <is>
          <t>CURAL</t>
        </is>
      </c>
      <c r="C179" t="inlineStr">
        <is>
          <t>SHELVES</t>
        </is>
      </c>
      <c r="D179" t="inlineStr">
        <is>
          <t>PQ2601.R677 Z632 1978</t>
        </is>
      </c>
      <c r="E179" t="inlineStr">
        <is>
          <t>0                      PQ 2601000R  677                Z  632         1978</t>
        </is>
      </c>
      <c r="F179" t="inlineStr">
        <is>
          <t>Antonin Artaud / by Julia F. Costich. --</t>
        </is>
      </c>
      <c r="H179" t="inlineStr">
        <is>
          <t>No</t>
        </is>
      </c>
      <c r="I179" t="inlineStr">
        <is>
          <t>1</t>
        </is>
      </c>
      <c r="J179" t="inlineStr">
        <is>
          <t>No</t>
        </is>
      </c>
      <c r="K179" t="inlineStr">
        <is>
          <t>No</t>
        </is>
      </c>
      <c r="L179" t="inlineStr">
        <is>
          <t>0</t>
        </is>
      </c>
      <c r="M179" t="inlineStr">
        <is>
          <t>Costich, Julia F.</t>
        </is>
      </c>
      <c r="N179" t="inlineStr">
        <is>
          <t>Boston : Twayne Publishers, 1978.</t>
        </is>
      </c>
      <c r="O179" t="inlineStr">
        <is>
          <t>1978</t>
        </is>
      </c>
      <c r="Q179" t="inlineStr">
        <is>
          <t>eng</t>
        </is>
      </c>
      <c r="R179" t="inlineStr">
        <is>
          <t>mau</t>
        </is>
      </c>
      <c r="S179" t="inlineStr">
        <is>
          <t>Twayne's world author series ; TWAS 492 : France</t>
        </is>
      </c>
      <c r="T179" t="inlineStr">
        <is>
          <t xml:space="preserve">PQ </t>
        </is>
      </c>
      <c r="U179" t="n">
        <v>8</v>
      </c>
      <c r="V179" t="n">
        <v>8</v>
      </c>
      <c r="W179" t="inlineStr">
        <is>
          <t>2004-11-23</t>
        </is>
      </c>
      <c r="X179" t="inlineStr">
        <is>
          <t>2004-11-23</t>
        </is>
      </c>
      <c r="Y179" t="inlineStr">
        <is>
          <t>1991-05-09</t>
        </is>
      </c>
      <c r="Z179" t="inlineStr">
        <is>
          <t>1991-05-09</t>
        </is>
      </c>
      <c r="AA179" t="n">
        <v>635</v>
      </c>
      <c r="AB179" t="n">
        <v>554</v>
      </c>
      <c r="AC179" t="n">
        <v>560</v>
      </c>
      <c r="AD179" t="n">
        <v>4</v>
      </c>
      <c r="AE179" t="n">
        <v>4</v>
      </c>
      <c r="AF179" t="n">
        <v>27</v>
      </c>
      <c r="AG179" t="n">
        <v>27</v>
      </c>
      <c r="AH179" t="n">
        <v>10</v>
      </c>
      <c r="AI179" t="n">
        <v>10</v>
      </c>
      <c r="AJ179" t="n">
        <v>8</v>
      </c>
      <c r="AK179" t="n">
        <v>8</v>
      </c>
      <c r="AL179" t="n">
        <v>15</v>
      </c>
      <c r="AM179" t="n">
        <v>15</v>
      </c>
      <c r="AN179" t="n">
        <v>3</v>
      </c>
      <c r="AO179" t="n">
        <v>3</v>
      </c>
      <c r="AP179" t="n">
        <v>0</v>
      </c>
      <c r="AQ179" t="n">
        <v>0</v>
      </c>
      <c r="AR179" t="inlineStr">
        <is>
          <t>No</t>
        </is>
      </c>
      <c r="AS179" t="inlineStr">
        <is>
          <t>Yes</t>
        </is>
      </c>
      <c r="AT179">
        <f>HYPERLINK("http://catalog.hathitrust.org/Record/000133522","HathiTrust Record")</f>
        <v/>
      </c>
      <c r="AU179">
        <f>HYPERLINK("https://creighton-primo.hosted.exlibrisgroup.com/primo-explore/search?tab=default_tab&amp;search_scope=EVERYTHING&amp;vid=01CRU&amp;lang=en_US&amp;offset=0&amp;query=any,contains,991004512609702656","Catalog Record")</f>
        <v/>
      </c>
      <c r="AV179">
        <f>HYPERLINK("http://www.worldcat.org/oclc/3770991","WorldCat Record")</f>
        <v/>
      </c>
      <c r="AW179" t="inlineStr">
        <is>
          <t>4494990695:eng</t>
        </is>
      </c>
      <c r="AX179" t="inlineStr">
        <is>
          <t>3770991</t>
        </is>
      </c>
      <c r="AY179" t="inlineStr">
        <is>
          <t>991004512609702656</t>
        </is>
      </c>
      <c r="AZ179" t="inlineStr">
        <is>
          <t>991004512609702656</t>
        </is>
      </c>
      <c r="BA179" t="inlineStr">
        <is>
          <t>2260806320002656</t>
        </is>
      </c>
      <c r="BB179" t="inlineStr">
        <is>
          <t>BOOK</t>
        </is>
      </c>
      <c r="BD179" t="inlineStr">
        <is>
          <t>9780805763331</t>
        </is>
      </c>
      <c r="BE179" t="inlineStr">
        <is>
          <t>32285000603414</t>
        </is>
      </c>
      <c r="BF179" t="inlineStr">
        <is>
          <t>893247659</t>
        </is>
      </c>
    </row>
    <row r="180">
      <c r="A180" t="inlineStr">
        <is>
          <t>No</t>
        </is>
      </c>
      <c r="B180" t="inlineStr">
        <is>
          <t>CURAL</t>
        </is>
      </c>
      <c r="C180" t="inlineStr">
        <is>
          <t>SHELVES</t>
        </is>
      </c>
      <c r="D180" t="inlineStr">
        <is>
          <t>PQ2601.R677 Z636 1977</t>
        </is>
      </c>
      <c r="E180" t="inlineStr">
        <is>
          <t>0                      PQ 2601000R  677                Z  636         1977</t>
        </is>
      </c>
      <c r="F180" t="inlineStr">
        <is>
          <t>Antonin Artaud / Martin Esslin. --</t>
        </is>
      </c>
      <c r="H180" t="inlineStr">
        <is>
          <t>No</t>
        </is>
      </c>
      <c r="I180" t="inlineStr">
        <is>
          <t>1</t>
        </is>
      </c>
      <c r="J180" t="inlineStr">
        <is>
          <t>No</t>
        </is>
      </c>
      <c r="K180" t="inlineStr">
        <is>
          <t>No</t>
        </is>
      </c>
      <c r="L180" t="inlineStr">
        <is>
          <t>0</t>
        </is>
      </c>
      <c r="M180" t="inlineStr">
        <is>
          <t>Esslin, Martin, 1918-2002.</t>
        </is>
      </c>
      <c r="N180" t="inlineStr">
        <is>
          <t>New York : Penguin Books, 1977, c1976.</t>
        </is>
      </c>
      <c r="O180" t="inlineStr">
        <is>
          <t>1977</t>
        </is>
      </c>
      <c r="Q180" t="inlineStr">
        <is>
          <t>eng</t>
        </is>
      </c>
      <c r="R180" t="inlineStr">
        <is>
          <t>nyu</t>
        </is>
      </c>
      <c r="S180" t="inlineStr">
        <is>
          <t>Penguin modern masters</t>
        </is>
      </c>
      <c r="T180" t="inlineStr">
        <is>
          <t xml:space="preserve">PQ </t>
        </is>
      </c>
      <c r="U180" t="n">
        <v>8</v>
      </c>
      <c r="V180" t="n">
        <v>8</v>
      </c>
      <c r="W180" t="inlineStr">
        <is>
          <t>2004-09-07</t>
        </is>
      </c>
      <c r="X180" t="inlineStr">
        <is>
          <t>2004-09-07</t>
        </is>
      </c>
      <c r="Y180" t="inlineStr">
        <is>
          <t>1991-05-09</t>
        </is>
      </c>
      <c r="Z180" t="inlineStr">
        <is>
          <t>1991-05-09</t>
        </is>
      </c>
      <c r="AA180" t="n">
        <v>514</v>
      </c>
      <c r="AB180" t="n">
        <v>485</v>
      </c>
      <c r="AC180" t="n">
        <v>500</v>
      </c>
      <c r="AD180" t="n">
        <v>5</v>
      </c>
      <c r="AE180" t="n">
        <v>6</v>
      </c>
      <c r="AF180" t="n">
        <v>27</v>
      </c>
      <c r="AG180" t="n">
        <v>29</v>
      </c>
      <c r="AH180" t="n">
        <v>11</v>
      </c>
      <c r="AI180" t="n">
        <v>12</v>
      </c>
      <c r="AJ180" t="n">
        <v>4</v>
      </c>
      <c r="AK180" t="n">
        <v>5</v>
      </c>
      <c r="AL180" t="n">
        <v>11</v>
      </c>
      <c r="AM180" t="n">
        <v>11</v>
      </c>
      <c r="AN180" t="n">
        <v>4</v>
      </c>
      <c r="AO180" t="n">
        <v>5</v>
      </c>
      <c r="AP180" t="n">
        <v>0</v>
      </c>
      <c r="AQ180" t="n">
        <v>0</v>
      </c>
      <c r="AR180" t="inlineStr">
        <is>
          <t>No</t>
        </is>
      </c>
      <c r="AS180" t="inlineStr">
        <is>
          <t>No</t>
        </is>
      </c>
      <c r="AU180">
        <f>HYPERLINK("https://creighton-primo.hosted.exlibrisgroup.com/primo-explore/search?tab=default_tab&amp;search_scope=EVERYTHING&amp;vid=01CRU&amp;lang=en_US&amp;offset=0&amp;query=any,contains,991004247869702656","Catalog Record")</f>
        <v/>
      </c>
      <c r="AV180">
        <f>HYPERLINK("http://www.worldcat.org/oclc/2799088","WorldCat Record")</f>
        <v/>
      </c>
      <c r="AW180" t="inlineStr">
        <is>
          <t>412747:eng</t>
        </is>
      </c>
      <c r="AX180" t="inlineStr">
        <is>
          <t>2799088</t>
        </is>
      </c>
      <c r="AY180" t="inlineStr">
        <is>
          <t>991004247869702656</t>
        </is>
      </c>
      <c r="AZ180" t="inlineStr">
        <is>
          <t>991004247869702656</t>
        </is>
      </c>
      <c r="BA180" t="inlineStr">
        <is>
          <t>2271405350002656</t>
        </is>
      </c>
      <c r="BB180" t="inlineStr">
        <is>
          <t>BOOK</t>
        </is>
      </c>
      <c r="BD180" t="inlineStr">
        <is>
          <t>9780140043686</t>
        </is>
      </c>
      <c r="BE180" t="inlineStr">
        <is>
          <t>32285000603422</t>
        </is>
      </c>
      <c r="BF180" t="inlineStr">
        <is>
          <t>893706146</t>
        </is>
      </c>
    </row>
    <row r="181">
      <c r="A181" t="inlineStr">
        <is>
          <t>No</t>
        </is>
      </c>
      <c r="B181" t="inlineStr">
        <is>
          <t>CURAL</t>
        </is>
      </c>
      <c r="C181" t="inlineStr">
        <is>
          <t>SHELVES</t>
        </is>
      </c>
      <c r="D181" t="inlineStr">
        <is>
          <t>PQ2601.R677 Z7</t>
        </is>
      </c>
      <c r="E181" t="inlineStr">
        <is>
          <t>0                      PQ 2601000R  677                Z  7</t>
        </is>
      </c>
      <c r="F181" t="inlineStr">
        <is>
          <t>Antonin Artaud : man of vision / by Bettina L. Knapp. With a pref. by Anais Nin.</t>
        </is>
      </c>
      <c r="H181" t="inlineStr">
        <is>
          <t>No</t>
        </is>
      </c>
      <c r="I181" t="inlineStr">
        <is>
          <t>1</t>
        </is>
      </c>
      <c r="J181" t="inlineStr">
        <is>
          <t>No</t>
        </is>
      </c>
      <c r="K181" t="inlineStr">
        <is>
          <t>No</t>
        </is>
      </c>
      <c r="L181" t="inlineStr">
        <is>
          <t>0</t>
        </is>
      </c>
      <c r="M181" t="inlineStr">
        <is>
          <t>Knapp, Bettina Liebowitz, 1926-2010.</t>
        </is>
      </c>
      <c r="N181" t="inlineStr">
        <is>
          <t>New York : D. Lewis, 1969.</t>
        </is>
      </c>
      <c r="O181" t="inlineStr">
        <is>
          <t>1969</t>
        </is>
      </c>
      <c r="Q181" t="inlineStr">
        <is>
          <t>eng</t>
        </is>
      </c>
      <c r="R181" t="inlineStr">
        <is>
          <t>nyu</t>
        </is>
      </c>
      <c r="T181" t="inlineStr">
        <is>
          <t xml:space="preserve">PQ </t>
        </is>
      </c>
      <c r="U181" t="n">
        <v>2</v>
      </c>
      <c r="V181" t="n">
        <v>2</v>
      </c>
      <c r="W181" t="inlineStr">
        <is>
          <t>2004-09-07</t>
        </is>
      </c>
      <c r="X181" t="inlineStr">
        <is>
          <t>2004-09-07</t>
        </is>
      </c>
      <c r="Y181" t="inlineStr">
        <is>
          <t>1995-04-24</t>
        </is>
      </c>
      <c r="Z181" t="inlineStr">
        <is>
          <t>1995-04-24</t>
        </is>
      </c>
      <c r="AA181" t="n">
        <v>586</v>
      </c>
      <c r="AB181" t="n">
        <v>531</v>
      </c>
      <c r="AC181" t="n">
        <v>699</v>
      </c>
      <c r="AD181" t="n">
        <v>6</v>
      </c>
      <c r="AE181" t="n">
        <v>7</v>
      </c>
      <c r="AF181" t="n">
        <v>32</v>
      </c>
      <c r="AG181" t="n">
        <v>36</v>
      </c>
      <c r="AH181" t="n">
        <v>13</v>
      </c>
      <c r="AI181" t="n">
        <v>14</v>
      </c>
      <c r="AJ181" t="n">
        <v>7</v>
      </c>
      <c r="AK181" t="n">
        <v>8</v>
      </c>
      <c r="AL181" t="n">
        <v>15</v>
      </c>
      <c r="AM181" t="n">
        <v>17</v>
      </c>
      <c r="AN181" t="n">
        <v>5</v>
      </c>
      <c r="AO181" t="n">
        <v>6</v>
      </c>
      <c r="AP181" t="n">
        <v>0</v>
      </c>
      <c r="AQ181" t="n">
        <v>0</v>
      </c>
      <c r="AR181" t="inlineStr">
        <is>
          <t>No</t>
        </is>
      </c>
      <c r="AS181" t="inlineStr">
        <is>
          <t>No</t>
        </is>
      </c>
      <c r="AU181">
        <f>HYPERLINK("https://creighton-primo.hosted.exlibrisgroup.com/primo-explore/search?tab=default_tab&amp;search_scope=EVERYTHING&amp;vid=01CRU&amp;lang=en_US&amp;offset=0&amp;query=any,contains,991000000869702656","Catalog Record")</f>
        <v/>
      </c>
      <c r="AV181">
        <f>HYPERLINK("http://www.worldcat.org/oclc/9261","WorldCat Record")</f>
        <v/>
      </c>
      <c r="AW181" t="inlineStr">
        <is>
          <t>1132425:eng</t>
        </is>
      </c>
      <c r="AX181" t="inlineStr">
        <is>
          <t>9261</t>
        </is>
      </c>
      <c r="AY181" t="inlineStr">
        <is>
          <t>991000000869702656</t>
        </is>
      </c>
      <c r="AZ181" t="inlineStr">
        <is>
          <t>991000000869702656</t>
        </is>
      </c>
      <c r="BA181" t="inlineStr">
        <is>
          <t>2268807670002656</t>
        </is>
      </c>
      <c r="BB181" t="inlineStr">
        <is>
          <t>BOOK</t>
        </is>
      </c>
      <c r="BE181" t="inlineStr">
        <is>
          <t>32285002028727</t>
        </is>
      </c>
      <c r="BF181" t="inlineStr">
        <is>
          <t>893707997</t>
        </is>
      </c>
    </row>
    <row r="182">
      <c r="A182" t="inlineStr">
        <is>
          <t>No</t>
        </is>
      </c>
      <c r="B182" t="inlineStr">
        <is>
          <t>CURAL</t>
        </is>
      </c>
      <c r="C182" t="inlineStr">
        <is>
          <t>SHELVES</t>
        </is>
      </c>
      <c r="D182" t="inlineStr">
        <is>
          <t>PQ2601.Y5 C6 1966</t>
        </is>
      </c>
      <c r="E182" t="inlineStr">
        <is>
          <t>0                      PQ 2601000Y  5                  C  6           1966</t>
        </is>
      </c>
      <c r="F182" t="inlineStr">
        <is>
          <t>Le Confort intellectuel.</t>
        </is>
      </c>
      <c r="H182" t="inlineStr">
        <is>
          <t>No</t>
        </is>
      </c>
      <c r="I182" t="inlineStr">
        <is>
          <t>1</t>
        </is>
      </c>
      <c r="J182" t="inlineStr">
        <is>
          <t>No</t>
        </is>
      </c>
      <c r="K182" t="inlineStr">
        <is>
          <t>No</t>
        </is>
      </c>
      <c r="L182" t="inlineStr">
        <is>
          <t>0</t>
        </is>
      </c>
      <c r="M182" t="inlineStr">
        <is>
          <t>Aymé, Marcel, 1902-1967.</t>
        </is>
      </c>
      <c r="N182" t="inlineStr">
        <is>
          <t>Paris, Flammarion, 1967.</t>
        </is>
      </c>
      <c r="O182" t="inlineStr">
        <is>
          <t>1967</t>
        </is>
      </c>
      <c r="Q182" t="inlineStr">
        <is>
          <t>fre</t>
        </is>
      </c>
      <c r="R182" t="inlineStr">
        <is>
          <t xml:space="preserve">xx </t>
        </is>
      </c>
      <c r="T182" t="inlineStr">
        <is>
          <t xml:space="preserve">PQ </t>
        </is>
      </c>
      <c r="U182" t="n">
        <v>2</v>
      </c>
      <c r="V182" t="n">
        <v>2</v>
      </c>
      <c r="W182" t="inlineStr">
        <is>
          <t>1999-09-23</t>
        </is>
      </c>
      <c r="X182" t="inlineStr">
        <is>
          <t>1999-09-23</t>
        </is>
      </c>
      <c r="Y182" t="inlineStr">
        <is>
          <t>1997-05-20</t>
        </is>
      </c>
      <c r="Z182" t="inlineStr">
        <is>
          <t>1997-05-20</t>
        </is>
      </c>
      <c r="AA182" t="n">
        <v>50</v>
      </c>
      <c r="AB182" t="n">
        <v>32</v>
      </c>
      <c r="AC182" t="n">
        <v>294</v>
      </c>
      <c r="AD182" t="n">
        <v>2</v>
      </c>
      <c r="AE182" t="n">
        <v>3</v>
      </c>
      <c r="AF182" t="n">
        <v>3</v>
      </c>
      <c r="AG182" t="n">
        <v>20</v>
      </c>
      <c r="AH182" t="n">
        <v>0</v>
      </c>
      <c r="AI182" t="n">
        <v>8</v>
      </c>
      <c r="AJ182" t="n">
        <v>2</v>
      </c>
      <c r="AK182" t="n">
        <v>5</v>
      </c>
      <c r="AL182" t="n">
        <v>2</v>
      </c>
      <c r="AM182" t="n">
        <v>10</v>
      </c>
      <c r="AN182" t="n">
        <v>1</v>
      </c>
      <c r="AO182" t="n">
        <v>2</v>
      </c>
      <c r="AP182" t="n">
        <v>0</v>
      </c>
      <c r="AQ182" t="n">
        <v>0</v>
      </c>
      <c r="AR182" t="inlineStr">
        <is>
          <t>No</t>
        </is>
      </c>
      <c r="AS182" t="inlineStr">
        <is>
          <t>No</t>
        </is>
      </c>
      <c r="AU182">
        <f>HYPERLINK("https://creighton-primo.hosted.exlibrisgroup.com/primo-explore/search?tab=default_tab&amp;search_scope=EVERYTHING&amp;vid=01CRU&amp;lang=en_US&amp;offset=0&amp;query=any,contains,991004640029702656","Catalog Record")</f>
        <v/>
      </c>
      <c r="AV182">
        <f>HYPERLINK("http://www.worldcat.org/oclc/4452663","WorldCat Record")</f>
        <v/>
      </c>
      <c r="AW182" t="inlineStr">
        <is>
          <t>306076152:fre</t>
        </is>
      </c>
      <c r="AX182" t="inlineStr">
        <is>
          <t>4452663</t>
        </is>
      </c>
      <c r="AY182" t="inlineStr">
        <is>
          <t>991004640029702656</t>
        </is>
      </c>
      <c r="AZ182" t="inlineStr">
        <is>
          <t>991004640029702656</t>
        </is>
      </c>
      <c r="BA182" t="inlineStr">
        <is>
          <t>2255522750002656</t>
        </is>
      </c>
      <c r="BB182" t="inlineStr">
        <is>
          <t>BOOK</t>
        </is>
      </c>
      <c r="BE182" t="inlineStr">
        <is>
          <t>32285002727237</t>
        </is>
      </c>
      <c r="BF182" t="inlineStr">
        <is>
          <t>893700474</t>
        </is>
      </c>
    </row>
    <row r="183">
      <c r="A183" t="inlineStr">
        <is>
          <t>No</t>
        </is>
      </c>
      <c r="B183" t="inlineStr">
        <is>
          <t>CURAL</t>
        </is>
      </c>
      <c r="C183" t="inlineStr">
        <is>
          <t>SHELVES</t>
        </is>
      </c>
      <c r="D183" t="inlineStr">
        <is>
          <t>PQ2603.A695 H484 1999</t>
        </is>
      </c>
      <c r="E183" t="inlineStr">
        <is>
          <t>0                      PQ 2603000A  695                H  484         1999</t>
        </is>
      </c>
      <c r="F183" t="inlineStr">
        <is>
          <t>The cut : reading Bataille's Histoire de l'oeil / Patrick ffrench.</t>
        </is>
      </c>
      <c r="H183" t="inlineStr">
        <is>
          <t>No</t>
        </is>
      </c>
      <c r="I183" t="inlineStr">
        <is>
          <t>1</t>
        </is>
      </c>
      <c r="J183" t="inlineStr">
        <is>
          <t>No</t>
        </is>
      </c>
      <c r="K183" t="inlineStr">
        <is>
          <t>No</t>
        </is>
      </c>
      <c r="L183" t="inlineStr">
        <is>
          <t>0</t>
        </is>
      </c>
      <c r="M183" t="inlineStr">
        <is>
          <t>Ffrench, Patrick.</t>
        </is>
      </c>
      <c r="N183" t="inlineStr">
        <is>
          <t>Oxford ; New York : Published for the British Academy by Oxford University Press, c1999.</t>
        </is>
      </c>
      <c r="O183" t="inlineStr">
        <is>
          <t>1999</t>
        </is>
      </c>
      <c r="Q183" t="inlineStr">
        <is>
          <t>eng</t>
        </is>
      </c>
      <c r="R183" t="inlineStr">
        <is>
          <t>enk</t>
        </is>
      </c>
      <c r="S183" t="inlineStr">
        <is>
          <t>A British Academy postdoctoral fellowship monograph</t>
        </is>
      </c>
      <c r="T183" t="inlineStr">
        <is>
          <t xml:space="preserve">PQ </t>
        </is>
      </c>
      <c r="U183" t="n">
        <v>4</v>
      </c>
      <c r="V183" t="n">
        <v>4</v>
      </c>
      <c r="W183" t="inlineStr">
        <is>
          <t>2004-04-07</t>
        </is>
      </c>
      <c r="X183" t="inlineStr">
        <is>
          <t>2004-04-07</t>
        </is>
      </c>
      <c r="Y183" t="inlineStr">
        <is>
          <t>2000-07-18</t>
        </is>
      </c>
      <c r="Z183" t="inlineStr">
        <is>
          <t>2000-07-18</t>
        </is>
      </c>
      <c r="AA183" t="n">
        <v>218</v>
      </c>
      <c r="AB183" t="n">
        <v>155</v>
      </c>
      <c r="AC183" t="n">
        <v>159</v>
      </c>
      <c r="AD183" t="n">
        <v>2</v>
      </c>
      <c r="AE183" t="n">
        <v>2</v>
      </c>
      <c r="AF183" t="n">
        <v>6</v>
      </c>
      <c r="AG183" t="n">
        <v>6</v>
      </c>
      <c r="AH183" t="n">
        <v>0</v>
      </c>
      <c r="AI183" t="n">
        <v>0</v>
      </c>
      <c r="AJ183" t="n">
        <v>3</v>
      </c>
      <c r="AK183" t="n">
        <v>3</v>
      </c>
      <c r="AL183" t="n">
        <v>4</v>
      </c>
      <c r="AM183" t="n">
        <v>4</v>
      </c>
      <c r="AN183" t="n">
        <v>1</v>
      </c>
      <c r="AO183" t="n">
        <v>1</v>
      </c>
      <c r="AP183" t="n">
        <v>0</v>
      </c>
      <c r="AQ183" t="n">
        <v>0</v>
      </c>
      <c r="AR183" t="inlineStr">
        <is>
          <t>No</t>
        </is>
      </c>
      <c r="AS183" t="inlineStr">
        <is>
          <t>Yes</t>
        </is>
      </c>
      <c r="AT183">
        <f>HYPERLINK("http://catalog.hathitrust.org/Record/004079855","HathiTrust Record")</f>
        <v/>
      </c>
      <c r="AU183">
        <f>HYPERLINK("https://creighton-primo.hosted.exlibrisgroup.com/primo-explore/search?tab=default_tab&amp;search_scope=EVERYTHING&amp;vid=01CRU&amp;lang=en_US&amp;offset=0&amp;query=any,contains,991003205369702656","Catalog Record")</f>
        <v/>
      </c>
      <c r="AV183">
        <f>HYPERLINK("http://www.worldcat.org/oclc/41420772","WorldCat Record")</f>
        <v/>
      </c>
      <c r="AW183" t="inlineStr">
        <is>
          <t>793061815:eng</t>
        </is>
      </c>
      <c r="AX183" t="inlineStr">
        <is>
          <t>41420772</t>
        </is>
      </c>
      <c r="AY183" t="inlineStr">
        <is>
          <t>991003205369702656</t>
        </is>
      </c>
      <c r="AZ183" t="inlineStr">
        <is>
          <t>991003205369702656</t>
        </is>
      </c>
      <c r="BA183" t="inlineStr">
        <is>
          <t>2269736480002656</t>
        </is>
      </c>
      <c r="BB183" t="inlineStr">
        <is>
          <t>BOOK</t>
        </is>
      </c>
      <c r="BD183" t="inlineStr">
        <is>
          <t>9780197262009</t>
        </is>
      </c>
      <c r="BE183" t="inlineStr">
        <is>
          <t>32285003740387</t>
        </is>
      </c>
      <c r="BF183" t="inlineStr">
        <is>
          <t>893880917</t>
        </is>
      </c>
    </row>
    <row r="184">
      <c r="A184" t="inlineStr">
        <is>
          <t>No</t>
        </is>
      </c>
      <c r="B184" t="inlineStr">
        <is>
          <t>CURAL</t>
        </is>
      </c>
      <c r="C184" t="inlineStr">
        <is>
          <t>SHELVES</t>
        </is>
      </c>
      <c r="D184" t="inlineStr">
        <is>
          <t>PQ2603.A695 Z74 1992</t>
        </is>
      </c>
      <c r="E184" t="inlineStr">
        <is>
          <t>0                      PQ 2603000A  695                Z  74          1992</t>
        </is>
      </c>
      <c r="F184" t="inlineStr">
        <is>
          <t>The thirst for annihilation : Georges Bataille and virulent nihilism : an essay in atheistic religion / Nick Land.</t>
        </is>
      </c>
      <c r="H184" t="inlineStr">
        <is>
          <t>No</t>
        </is>
      </c>
      <c r="I184" t="inlineStr">
        <is>
          <t>1</t>
        </is>
      </c>
      <c r="J184" t="inlineStr">
        <is>
          <t>No</t>
        </is>
      </c>
      <c r="K184" t="inlineStr">
        <is>
          <t>No</t>
        </is>
      </c>
      <c r="L184" t="inlineStr">
        <is>
          <t>0</t>
        </is>
      </c>
      <c r="M184" t="inlineStr">
        <is>
          <t>Land, Nick, 1962-</t>
        </is>
      </c>
      <c r="N184" t="inlineStr">
        <is>
          <t>London ; New York : Routledge, 1992.</t>
        </is>
      </c>
      <c r="O184" t="inlineStr">
        <is>
          <t>1992</t>
        </is>
      </c>
      <c r="Q184" t="inlineStr">
        <is>
          <t>eng</t>
        </is>
      </c>
      <c r="R184" t="inlineStr">
        <is>
          <t>enk</t>
        </is>
      </c>
      <c r="T184" t="inlineStr">
        <is>
          <t xml:space="preserve">PQ </t>
        </is>
      </c>
      <c r="U184" t="n">
        <v>5</v>
      </c>
      <c r="V184" t="n">
        <v>5</v>
      </c>
      <c r="W184" t="inlineStr">
        <is>
          <t>1998-03-04</t>
        </is>
      </c>
      <c r="X184" t="inlineStr">
        <is>
          <t>1998-03-04</t>
        </is>
      </c>
      <c r="Y184" t="inlineStr">
        <is>
          <t>1993-11-10</t>
        </is>
      </c>
      <c r="Z184" t="inlineStr">
        <is>
          <t>1993-11-10</t>
        </is>
      </c>
      <c r="AA184" t="n">
        <v>251</v>
      </c>
      <c r="AB184" t="n">
        <v>133</v>
      </c>
      <c r="AC184" t="n">
        <v>160</v>
      </c>
      <c r="AD184" t="n">
        <v>1</v>
      </c>
      <c r="AE184" t="n">
        <v>1</v>
      </c>
      <c r="AF184" t="n">
        <v>7</v>
      </c>
      <c r="AG184" t="n">
        <v>7</v>
      </c>
      <c r="AH184" t="n">
        <v>0</v>
      </c>
      <c r="AI184" t="n">
        <v>0</v>
      </c>
      <c r="AJ184" t="n">
        <v>4</v>
      </c>
      <c r="AK184" t="n">
        <v>4</v>
      </c>
      <c r="AL184" t="n">
        <v>4</v>
      </c>
      <c r="AM184" t="n">
        <v>4</v>
      </c>
      <c r="AN184" t="n">
        <v>0</v>
      </c>
      <c r="AO184" t="n">
        <v>0</v>
      </c>
      <c r="AP184" t="n">
        <v>0</v>
      </c>
      <c r="AQ184" t="n">
        <v>0</v>
      </c>
      <c r="AR184" t="inlineStr">
        <is>
          <t>No</t>
        </is>
      </c>
      <c r="AS184" t="inlineStr">
        <is>
          <t>No</t>
        </is>
      </c>
      <c r="AU184">
        <f>HYPERLINK("https://creighton-primo.hosted.exlibrisgroup.com/primo-explore/search?tab=default_tab&amp;search_scope=EVERYTHING&amp;vid=01CRU&amp;lang=en_US&amp;offset=0&amp;query=any,contains,991001943059702656","Catalog Record")</f>
        <v/>
      </c>
      <c r="AV184">
        <f>HYPERLINK("http://www.worldcat.org/oclc/24545156","WorldCat Record")</f>
        <v/>
      </c>
      <c r="AW184" t="inlineStr">
        <is>
          <t>800362338:eng</t>
        </is>
      </c>
      <c r="AX184" t="inlineStr">
        <is>
          <t>24545156</t>
        </is>
      </c>
      <c r="AY184" t="inlineStr">
        <is>
          <t>991001943059702656</t>
        </is>
      </c>
      <c r="AZ184" t="inlineStr">
        <is>
          <t>991001943059702656</t>
        </is>
      </c>
      <c r="BA184" t="inlineStr">
        <is>
          <t>2264649220002656</t>
        </is>
      </c>
      <c r="BB184" t="inlineStr">
        <is>
          <t>BOOK</t>
        </is>
      </c>
      <c r="BD184" t="inlineStr">
        <is>
          <t>9780415056076</t>
        </is>
      </c>
      <c r="BE184" t="inlineStr">
        <is>
          <t>32285001802478</t>
        </is>
      </c>
      <c r="BF184" t="inlineStr">
        <is>
          <t>893903632</t>
        </is>
      </c>
    </row>
    <row r="185">
      <c r="A185" t="inlineStr">
        <is>
          <t>No</t>
        </is>
      </c>
      <c r="B185" t="inlineStr">
        <is>
          <t>CURAL</t>
        </is>
      </c>
      <c r="C185" t="inlineStr">
        <is>
          <t>SHELVES</t>
        </is>
      </c>
      <c r="D185" t="inlineStr">
        <is>
          <t>PQ2603.E362 Z567</t>
        </is>
      </c>
      <c r="E185" t="inlineStr">
        <is>
          <t>0                      PQ 2603000E  362                Z  567</t>
        </is>
      </c>
      <c r="F185" t="inlineStr">
        <is>
          <t>Simone de Beauvoir, a life of freedom / by Carol Ascher.</t>
        </is>
      </c>
      <c r="H185" t="inlineStr">
        <is>
          <t>No</t>
        </is>
      </c>
      <c r="I185" t="inlineStr">
        <is>
          <t>1</t>
        </is>
      </c>
      <c r="J185" t="inlineStr">
        <is>
          <t>No</t>
        </is>
      </c>
      <c r="K185" t="inlineStr">
        <is>
          <t>No</t>
        </is>
      </c>
      <c r="L185" t="inlineStr">
        <is>
          <t>0</t>
        </is>
      </c>
      <c r="M185" t="inlineStr">
        <is>
          <t>Ascher, Carol, 1941-</t>
        </is>
      </c>
      <c r="N185" t="inlineStr">
        <is>
          <t>Boston, Mass. : Beacon Press, [1981]</t>
        </is>
      </c>
      <c r="O185" t="inlineStr">
        <is>
          <t>1981</t>
        </is>
      </c>
      <c r="Q185" t="inlineStr">
        <is>
          <t>eng</t>
        </is>
      </c>
      <c r="R185" t="inlineStr">
        <is>
          <t>mau</t>
        </is>
      </c>
      <c r="T185" t="inlineStr">
        <is>
          <t xml:space="preserve">PQ </t>
        </is>
      </c>
      <c r="U185" t="n">
        <v>6</v>
      </c>
      <c r="V185" t="n">
        <v>6</v>
      </c>
      <c r="W185" t="inlineStr">
        <is>
          <t>1997-08-18</t>
        </is>
      </c>
      <c r="X185" t="inlineStr">
        <is>
          <t>1997-08-18</t>
        </is>
      </c>
      <c r="Y185" t="inlineStr">
        <is>
          <t>1991-05-09</t>
        </is>
      </c>
      <c r="Z185" t="inlineStr">
        <is>
          <t>1991-05-09</t>
        </is>
      </c>
      <c r="AA185" t="n">
        <v>856</v>
      </c>
      <c r="AB185" t="n">
        <v>761</v>
      </c>
      <c r="AC185" t="n">
        <v>770</v>
      </c>
      <c r="AD185" t="n">
        <v>4</v>
      </c>
      <c r="AE185" t="n">
        <v>4</v>
      </c>
      <c r="AF185" t="n">
        <v>27</v>
      </c>
      <c r="AG185" t="n">
        <v>27</v>
      </c>
      <c r="AH185" t="n">
        <v>11</v>
      </c>
      <c r="AI185" t="n">
        <v>11</v>
      </c>
      <c r="AJ185" t="n">
        <v>6</v>
      </c>
      <c r="AK185" t="n">
        <v>6</v>
      </c>
      <c r="AL185" t="n">
        <v>15</v>
      </c>
      <c r="AM185" t="n">
        <v>15</v>
      </c>
      <c r="AN185" t="n">
        <v>3</v>
      </c>
      <c r="AO185" t="n">
        <v>3</v>
      </c>
      <c r="AP185" t="n">
        <v>0</v>
      </c>
      <c r="AQ185" t="n">
        <v>0</v>
      </c>
      <c r="AR185" t="inlineStr">
        <is>
          <t>No</t>
        </is>
      </c>
      <c r="AS185" t="inlineStr">
        <is>
          <t>Yes</t>
        </is>
      </c>
      <c r="AT185">
        <f>HYPERLINK("http://catalog.hathitrust.org/Record/000265533","HathiTrust Record")</f>
        <v/>
      </c>
      <c r="AU185">
        <f>HYPERLINK("https://creighton-primo.hosted.exlibrisgroup.com/primo-explore/search?tab=default_tab&amp;search_scope=EVERYTHING&amp;vid=01CRU&amp;lang=en_US&amp;offset=0&amp;query=any,contains,991005098999702656","Catalog Record")</f>
        <v/>
      </c>
      <c r="AV185">
        <f>HYPERLINK("http://www.worldcat.org/oclc/7278449","WorldCat Record")</f>
        <v/>
      </c>
      <c r="AW185" t="inlineStr">
        <is>
          <t>26230047:eng</t>
        </is>
      </c>
      <c r="AX185" t="inlineStr">
        <is>
          <t>7278449</t>
        </is>
      </c>
      <c r="AY185" t="inlineStr">
        <is>
          <t>991005098999702656</t>
        </is>
      </c>
      <c r="AZ185" t="inlineStr">
        <is>
          <t>991005098999702656</t>
        </is>
      </c>
      <c r="BA185" t="inlineStr">
        <is>
          <t>2263320820002656</t>
        </is>
      </c>
      <c r="BB185" t="inlineStr">
        <is>
          <t>BOOK</t>
        </is>
      </c>
      <c r="BD185" t="inlineStr">
        <is>
          <t>9780807032404</t>
        </is>
      </c>
      <c r="BE185" t="inlineStr">
        <is>
          <t>32285000603463</t>
        </is>
      </c>
      <c r="BF185" t="inlineStr">
        <is>
          <t>893789430</t>
        </is>
      </c>
    </row>
    <row r="186">
      <c r="A186" t="inlineStr">
        <is>
          <t>No</t>
        </is>
      </c>
      <c r="B186" t="inlineStr">
        <is>
          <t>CURAL</t>
        </is>
      </c>
      <c r="C186" t="inlineStr">
        <is>
          <t>SHELVES</t>
        </is>
      </c>
      <c r="D186" t="inlineStr">
        <is>
          <t>PQ2603.E362 Z58</t>
        </is>
      </c>
      <c r="E186" t="inlineStr">
        <is>
          <t>0                      PQ 2603000E  362                Z  58</t>
        </is>
      </c>
      <c r="F186" t="inlineStr">
        <is>
          <t>Simone de Beauvoir / Konrad Beiber.</t>
        </is>
      </c>
      <c r="H186" t="inlineStr">
        <is>
          <t>No</t>
        </is>
      </c>
      <c r="I186" t="inlineStr">
        <is>
          <t>1</t>
        </is>
      </c>
      <c r="J186" t="inlineStr">
        <is>
          <t>No</t>
        </is>
      </c>
      <c r="K186" t="inlineStr">
        <is>
          <t>No</t>
        </is>
      </c>
      <c r="L186" t="inlineStr">
        <is>
          <t>0</t>
        </is>
      </c>
      <c r="M186" t="inlineStr">
        <is>
          <t>Bieber, Konrad F.</t>
        </is>
      </c>
      <c r="N186" t="inlineStr">
        <is>
          <t>Boston : Twayne Publishers, 1979.</t>
        </is>
      </c>
      <c r="O186" t="inlineStr">
        <is>
          <t>1979</t>
        </is>
      </c>
      <c r="Q186" t="inlineStr">
        <is>
          <t>eng</t>
        </is>
      </c>
      <c r="R186" t="inlineStr">
        <is>
          <t>mau</t>
        </is>
      </c>
      <c r="S186" t="inlineStr">
        <is>
          <t>Twayne's world authors series ; TWAS 532 : France</t>
        </is>
      </c>
      <c r="T186" t="inlineStr">
        <is>
          <t xml:space="preserve">PQ </t>
        </is>
      </c>
      <c r="U186" t="n">
        <v>7</v>
      </c>
      <c r="V186" t="n">
        <v>7</v>
      </c>
      <c r="W186" t="inlineStr">
        <is>
          <t>1997-08-18</t>
        </is>
      </c>
      <c r="X186" t="inlineStr">
        <is>
          <t>1997-08-18</t>
        </is>
      </c>
      <c r="Y186" t="inlineStr">
        <is>
          <t>1991-05-09</t>
        </is>
      </c>
      <c r="Z186" t="inlineStr">
        <is>
          <t>1991-05-09</t>
        </is>
      </c>
      <c r="AA186" t="n">
        <v>787</v>
      </c>
      <c r="AB186" t="n">
        <v>682</v>
      </c>
      <c r="AC186" t="n">
        <v>689</v>
      </c>
      <c r="AD186" t="n">
        <v>5</v>
      </c>
      <c r="AE186" t="n">
        <v>5</v>
      </c>
      <c r="AF186" t="n">
        <v>30</v>
      </c>
      <c r="AG186" t="n">
        <v>30</v>
      </c>
      <c r="AH186" t="n">
        <v>13</v>
      </c>
      <c r="AI186" t="n">
        <v>13</v>
      </c>
      <c r="AJ186" t="n">
        <v>8</v>
      </c>
      <c r="AK186" t="n">
        <v>8</v>
      </c>
      <c r="AL186" t="n">
        <v>16</v>
      </c>
      <c r="AM186" t="n">
        <v>16</v>
      </c>
      <c r="AN186" t="n">
        <v>4</v>
      </c>
      <c r="AO186" t="n">
        <v>4</v>
      </c>
      <c r="AP186" t="n">
        <v>0</v>
      </c>
      <c r="AQ186" t="n">
        <v>0</v>
      </c>
      <c r="AR186" t="inlineStr">
        <is>
          <t>No</t>
        </is>
      </c>
      <c r="AS186" t="inlineStr">
        <is>
          <t>Yes</t>
        </is>
      </c>
      <c r="AT186">
        <f>HYPERLINK("http://catalog.hathitrust.org/Record/000257511","HathiTrust Record")</f>
        <v/>
      </c>
      <c r="AU186">
        <f>HYPERLINK("https://creighton-primo.hosted.exlibrisgroup.com/primo-explore/search?tab=default_tab&amp;search_scope=EVERYTHING&amp;vid=01CRU&amp;lang=en_US&amp;offset=0&amp;query=any,contains,991004670209702656","Catalog Record")</f>
        <v/>
      </c>
      <c r="AV186">
        <f>HYPERLINK("http://www.worldcat.org/oclc/4515296","WorldCat Record")</f>
        <v/>
      </c>
      <c r="AW186" t="inlineStr">
        <is>
          <t>14829748:eng</t>
        </is>
      </c>
      <c r="AX186" t="inlineStr">
        <is>
          <t>4515296</t>
        </is>
      </c>
      <c r="AY186" t="inlineStr">
        <is>
          <t>991004670209702656</t>
        </is>
      </c>
      <c r="AZ186" t="inlineStr">
        <is>
          <t>991004670209702656</t>
        </is>
      </c>
      <c r="BA186" t="inlineStr">
        <is>
          <t>2265533770002656</t>
        </is>
      </c>
      <c r="BB186" t="inlineStr">
        <is>
          <t>BOOK</t>
        </is>
      </c>
      <c r="BD186" t="inlineStr">
        <is>
          <t>9780805763744</t>
        </is>
      </c>
      <c r="BE186" t="inlineStr">
        <is>
          <t>32285000603471</t>
        </is>
      </c>
      <c r="BF186" t="inlineStr">
        <is>
          <t>893624946</t>
        </is>
      </c>
    </row>
    <row r="187">
      <c r="A187" t="inlineStr">
        <is>
          <t>No</t>
        </is>
      </c>
      <c r="B187" t="inlineStr">
        <is>
          <t>CURAL</t>
        </is>
      </c>
      <c r="C187" t="inlineStr">
        <is>
          <t>SHELVES</t>
        </is>
      </c>
      <c r="D187" t="inlineStr">
        <is>
          <t>PQ2603.E362 Z68313 1987</t>
        </is>
      </c>
      <c r="E187" t="inlineStr">
        <is>
          <t>0                      PQ 2603000E  362                Z  68313       1987</t>
        </is>
      </c>
      <c r="F187" t="inlineStr">
        <is>
          <t>Simone de Beauvoir : a life, a love story / Claude Francis and Fernande Gontier. Translated from the French by Lisa Nesselson.</t>
        </is>
      </c>
      <c r="H187" t="inlineStr">
        <is>
          <t>No</t>
        </is>
      </c>
      <c r="I187" t="inlineStr">
        <is>
          <t>1</t>
        </is>
      </c>
      <c r="J187" t="inlineStr">
        <is>
          <t>No</t>
        </is>
      </c>
      <c r="K187" t="inlineStr">
        <is>
          <t>No</t>
        </is>
      </c>
      <c r="L187" t="inlineStr">
        <is>
          <t>0</t>
        </is>
      </c>
      <c r="M187" t="inlineStr">
        <is>
          <t>Francis, Claude.</t>
        </is>
      </c>
      <c r="N187" t="inlineStr">
        <is>
          <t>New York : St. Martin's Press, c1987.</t>
        </is>
      </c>
      <c r="O187" t="inlineStr">
        <is>
          <t>1987</t>
        </is>
      </c>
      <c r="P187" t="inlineStr">
        <is>
          <t>1st ed.</t>
        </is>
      </c>
      <c r="Q187" t="inlineStr">
        <is>
          <t>eng</t>
        </is>
      </c>
      <c r="R187" t="inlineStr">
        <is>
          <t>nyu</t>
        </is>
      </c>
      <c r="T187" t="inlineStr">
        <is>
          <t xml:space="preserve">PQ </t>
        </is>
      </c>
      <c r="U187" t="n">
        <v>6</v>
      </c>
      <c r="V187" t="n">
        <v>6</v>
      </c>
      <c r="W187" t="inlineStr">
        <is>
          <t>1992-12-15</t>
        </is>
      </c>
      <c r="X187" t="inlineStr">
        <is>
          <t>1992-12-15</t>
        </is>
      </c>
      <c r="Y187" t="inlineStr">
        <is>
          <t>1991-05-09</t>
        </is>
      </c>
      <c r="Z187" t="inlineStr">
        <is>
          <t>1991-05-09</t>
        </is>
      </c>
      <c r="AA187" t="n">
        <v>706</v>
      </c>
      <c r="AB187" t="n">
        <v>661</v>
      </c>
      <c r="AC187" t="n">
        <v>686</v>
      </c>
      <c r="AD187" t="n">
        <v>5</v>
      </c>
      <c r="AE187" t="n">
        <v>5</v>
      </c>
      <c r="AF187" t="n">
        <v>19</v>
      </c>
      <c r="AG187" t="n">
        <v>19</v>
      </c>
      <c r="AH187" t="n">
        <v>6</v>
      </c>
      <c r="AI187" t="n">
        <v>6</v>
      </c>
      <c r="AJ187" t="n">
        <v>6</v>
      </c>
      <c r="AK187" t="n">
        <v>6</v>
      </c>
      <c r="AL187" t="n">
        <v>10</v>
      </c>
      <c r="AM187" t="n">
        <v>10</v>
      </c>
      <c r="AN187" t="n">
        <v>2</v>
      </c>
      <c r="AO187" t="n">
        <v>2</v>
      </c>
      <c r="AP187" t="n">
        <v>0</v>
      </c>
      <c r="AQ187" t="n">
        <v>0</v>
      </c>
      <c r="AR187" t="inlineStr">
        <is>
          <t>No</t>
        </is>
      </c>
      <c r="AS187" t="inlineStr">
        <is>
          <t>No</t>
        </is>
      </c>
      <c r="AU187">
        <f>HYPERLINK("https://creighton-primo.hosted.exlibrisgroup.com/primo-explore/search?tab=default_tab&amp;search_scope=EVERYTHING&amp;vid=01CRU&amp;lang=en_US&amp;offset=0&amp;query=any,contains,991000947109702656","Catalog Record")</f>
        <v/>
      </c>
      <c r="AV187">
        <f>HYPERLINK("http://www.worldcat.org/oclc/14587082","WorldCat Record")</f>
        <v/>
      </c>
      <c r="AW187" t="inlineStr">
        <is>
          <t>38965:eng</t>
        </is>
      </c>
      <c r="AX187" t="inlineStr">
        <is>
          <t>14587082</t>
        </is>
      </c>
      <c r="AY187" t="inlineStr">
        <is>
          <t>991000947109702656</t>
        </is>
      </c>
      <c r="AZ187" t="inlineStr">
        <is>
          <t>991000947109702656</t>
        </is>
      </c>
      <c r="BA187" t="inlineStr">
        <is>
          <t>2271016840002656</t>
        </is>
      </c>
      <c r="BB187" t="inlineStr">
        <is>
          <t>BOOK</t>
        </is>
      </c>
      <c r="BD187" t="inlineStr">
        <is>
          <t>9780312001896</t>
        </is>
      </c>
      <c r="BE187" t="inlineStr">
        <is>
          <t>32285000603489</t>
        </is>
      </c>
      <c r="BF187" t="inlineStr">
        <is>
          <t>893884903</t>
        </is>
      </c>
    </row>
    <row r="188">
      <c r="A188" t="inlineStr">
        <is>
          <t>No</t>
        </is>
      </c>
      <c r="B188" t="inlineStr">
        <is>
          <t>CURAL</t>
        </is>
      </c>
      <c r="C188" t="inlineStr">
        <is>
          <t>SHELVES</t>
        </is>
      </c>
      <c r="D188" t="inlineStr">
        <is>
          <t>PQ2603.E362 Z74</t>
        </is>
      </c>
      <c r="E188" t="inlineStr">
        <is>
          <t>0                      PQ 2603000E  362                Z  74</t>
        </is>
      </c>
      <c r="F188" t="inlineStr">
        <is>
          <t>Simone de Beauvoir.</t>
        </is>
      </c>
      <c r="H188" t="inlineStr">
        <is>
          <t>No</t>
        </is>
      </c>
      <c r="I188" t="inlineStr">
        <is>
          <t>1</t>
        </is>
      </c>
      <c r="J188" t="inlineStr">
        <is>
          <t>No</t>
        </is>
      </c>
      <c r="K188" t="inlineStr">
        <is>
          <t>No</t>
        </is>
      </c>
      <c r="L188" t="inlineStr">
        <is>
          <t>0</t>
        </is>
      </c>
      <c r="M188" t="inlineStr">
        <is>
          <t>Julienne-Caffié, Serge.</t>
        </is>
      </c>
      <c r="N188" t="inlineStr">
        <is>
          <t>[Paris] : Gallimard, [1966]</t>
        </is>
      </c>
      <c r="O188" t="inlineStr">
        <is>
          <t>1966</t>
        </is>
      </c>
      <c r="Q188" t="inlineStr">
        <is>
          <t>fre</t>
        </is>
      </c>
      <c r="R188" t="inlineStr">
        <is>
          <t xml:space="preserve">fr </t>
        </is>
      </c>
      <c r="S188" t="inlineStr">
        <is>
          <t>La Bibliothèque idéale</t>
        </is>
      </c>
      <c r="T188" t="inlineStr">
        <is>
          <t xml:space="preserve">PQ </t>
        </is>
      </c>
      <c r="U188" t="n">
        <v>2</v>
      </c>
      <c r="V188" t="n">
        <v>2</v>
      </c>
      <c r="W188" t="inlineStr">
        <is>
          <t>1995-12-04</t>
        </is>
      </c>
      <c r="X188" t="inlineStr">
        <is>
          <t>1995-12-04</t>
        </is>
      </c>
      <c r="Y188" t="inlineStr">
        <is>
          <t>1994-04-12</t>
        </is>
      </c>
      <c r="Z188" t="inlineStr">
        <is>
          <t>1994-04-12</t>
        </is>
      </c>
      <c r="AA188" t="n">
        <v>258</v>
      </c>
      <c r="AB188" t="n">
        <v>130</v>
      </c>
      <c r="AC188" t="n">
        <v>132</v>
      </c>
      <c r="AD188" t="n">
        <v>2</v>
      </c>
      <c r="AE188" t="n">
        <v>2</v>
      </c>
      <c r="AF188" t="n">
        <v>8</v>
      </c>
      <c r="AG188" t="n">
        <v>8</v>
      </c>
      <c r="AH188" t="n">
        <v>3</v>
      </c>
      <c r="AI188" t="n">
        <v>3</v>
      </c>
      <c r="AJ188" t="n">
        <v>2</v>
      </c>
      <c r="AK188" t="n">
        <v>2</v>
      </c>
      <c r="AL188" t="n">
        <v>4</v>
      </c>
      <c r="AM188" t="n">
        <v>4</v>
      </c>
      <c r="AN188" t="n">
        <v>1</v>
      </c>
      <c r="AO188" t="n">
        <v>1</v>
      </c>
      <c r="AP188" t="n">
        <v>0</v>
      </c>
      <c r="AQ188" t="n">
        <v>0</v>
      </c>
      <c r="AR188" t="inlineStr">
        <is>
          <t>No</t>
        </is>
      </c>
      <c r="AS188" t="inlineStr">
        <is>
          <t>Yes</t>
        </is>
      </c>
      <c r="AT188">
        <f>HYPERLINK("http://catalog.hathitrust.org/Record/001203994","HathiTrust Record")</f>
        <v/>
      </c>
      <c r="AU188">
        <f>HYPERLINK("https://creighton-primo.hosted.exlibrisgroup.com/primo-explore/search?tab=default_tab&amp;search_scope=EVERYTHING&amp;vid=01CRU&amp;lang=en_US&amp;offset=0&amp;query=any,contains,991003544999702656","Catalog Record")</f>
        <v/>
      </c>
      <c r="AV188">
        <f>HYPERLINK("http://www.worldcat.org/oclc/1111066","WorldCat Record")</f>
        <v/>
      </c>
      <c r="AW188" t="inlineStr">
        <is>
          <t>1994645:fre</t>
        </is>
      </c>
      <c r="AX188" t="inlineStr">
        <is>
          <t>1111066</t>
        </is>
      </c>
      <c r="AY188" t="inlineStr">
        <is>
          <t>991003544999702656</t>
        </is>
      </c>
      <c r="AZ188" t="inlineStr">
        <is>
          <t>991003544999702656</t>
        </is>
      </c>
      <c r="BA188" t="inlineStr">
        <is>
          <t>2269732060002656</t>
        </is>
      </c>
      <c r="BB188" t="inlineStr">
        <is>
          <t>BOOK</t>
        </is>
      </c>
      <c r="BE188" t="inlineStr">
        <is>
          <t>32285001885804</t>
        </is>
      </c>
      <c r="BF188" t="inlineStr">
        <is>
          <t>893330410</t>
        </is>
      </c>
    </row>
    <row r="189">
      <c r="A189" t="inlineStr">
        <is>
          <t>No</t>
        </is>
      </c>
      <c r="B189" t="inlineStr">
        <is>
          <t>CURAL</t>
        </is>
      </c>
      <c r="C189" t="inlineStr">
        <is>
          <t>SHELVES</t>
        </is>
      </c>
      <c r="D189" t="inlineStr">
        <is>
          <t>PQ2603.E362 Z75 1998</t>
        </is>
      </c>
      <c r="E189" t="inlineStr">
        <is>
          <t>0                      PQ 2603000E  362                Z  75          1998</t>
        </is>
      </c>
      <c r="F189" t="inlineStr">
        <is>
          <t>Simone de Beauvoir / Terry Keefe.</t>
        </is>
      </c>
      <c r="H189" t="inlineStr">
        <is>
          <t>No</t>
        </is>
      </c>
      <c r="I189" t="inlineStr">
        <is>
          <t>1</t>
        </is>
      </c>
      <c r="J189" t="inlineStr">
        <is>
          <t>No</t>
        </is>
      </c>
      <c r="K189" t="inlineStr">
        <is>
          <t>No</t>
        </is>
      </c>
      <c r="L189" t="inlineStr">
        <is>
          <t>0</t>
        </is>
      </c>
      <c r="M189" t="inlineStr">
        <is>
          <t>Keefe, Terry.</t>
        </is>
      </c>
      <c r="N189" t="inlineStr">
        <is>
          <t>New York : St. Martin's Press, 1998.</t>
        </is>
      </c>
      <c r="O189" t="inlineStr">
        <is>
          <t>1998</t>
        </is>
      </c>
      <c r="Q189" t="inlineStr">
        <is>
          <t>eng</t>
        </is>
      </c>
      <c r="R189" t="inlineStr">
        <is>
          <t>nyu</t>
        </is>
      </c>
      <c r="S189" t="inlineStr">
        <is>
          <t>Macmillan modern novelists</t>
        </is>
      </c>
      <c r="T189" t="inlineStr">
        <is>
          <t xml:space="preserve">PQ </t>
        </is>
      </c>
      <c r="U189" t="n">
        <v>3</v>
      </c>
      <c r="V189" t="n">
        <v>3</v>
      </c>
      <c r="W189" t="inlineStr">
        <is>
          <t>2000-02-24</t>
        </is>
      </c>
      <c r="X189" t="inlineStr">
        <is>
          <t>2000-02-24</t>
        </is>
      </c>
      <c r="Y189" t="inlineStr">
        <is>
          <t>1998-07-09</t>
        </is>
      </c>
      <c r="Z189" t="inlineStr">
        <is>
          <t>1998-07-09</t>
        </is>
      </c>
      <c r="AA189" t="n">
        <v>300</v>
      </c>
      <c r="AB189" t="n">
        <v>259</v>
      </c>
      <c r="AC189" t="n">
        <v>259</v>
      </c>
      <c r="AD189" t="n">
        <v>2</v>
      </c>
      <c r="AE189" t="n">
        <v>2</v>
      </c>
      <c r="AF189" t="n">
        <v>12</v>
      </c>
      <c r="AG189" t="n">
        <v>12</v>
      </c>
      <c r="AH189" t="n">
        <v>4</v>
      </c>
      <c r="AI189" t="n">
        <v>4</v>
      </c>
      <c r="AJ189" t="n">
        <v>2</v>
      </c>
      <c r="AK189" t="n">
        <v>2</v>
      </c>
      <c r="AL189" t="n">
        <v>9</v>
      </c>
      <c r="AM189" t="n">
        <v>9</v>
      </c>
      <c r="AN189" t="n">
        <v>1</v>
      </c>
      <c r="AO189" t="n">
        <v>1</v>
      </c>
      <c r="AP189" t="n">
        <v>0</v>
      </c>
      <c r="AQ189" t="n">
        <v>0</v>
      </c>
      <c r="AR189" t="inlineStr">
        <is>
          <t>No</t>
        </is>
      </c>
      <c r="AS189" t="inlineStr">
        <is>
          <t>No</t>
        </is>
      </c>
      <c r="AU189">
        <f>HYPERLINK("https://creighton-primo.hosted.exlibrisgroup.com/primo-explore/search?tab=default_tab&amp;search_scope=EVERYTHING&amp;vid=01CRU&amp;lang=en_US&amp;offset=0&amp;query=any,contains,991002851229702656","Catalog Record")</f>
        <v/>
      </c>
      <c r="AV189">
        <f>HYPERLINK("http://www.worldcat.org/oclc/37567332","WorldCat Record")</f>
        <v/>
      </c>
      <c r="AW189" t="inlineStr">
        <is>
          <t>5612595043:eng</t>
        </is>
      </c>
      <c r="AX189" t="inlineStr">
        <is>
          <t>37567332</t>
        </is>
      </c>
      <c r="AY189" t="inlineStr">
        <is>
          <t>991002851229702656</t>
        </is>
      </c>
      <c r="AZ189" t="inlineStr">
        <is>
          <t>991002851229702656</t>
        </is>
      </c>
      <c r="BA189" t="inlineStr">
        <is>
          <t>2267527710002656</t>
        </is>
      </c>
      <c r="BB189" t="inlineStr">
        <is>
          <t>BOOK</t>
        </is>
      </c>
      <c r="BD189" t="inlineStr">
        <is>
          <t>9780312211189</t>
        </is>
      </c>
      <c r="BE189" t="inlineStr">
        <is>
          <t>32285003431359</t>
        </is>
      </c>
      <c r="BF189" t="inlineStr">
        <is>
          <t>893335804</t>
        </is>
      </c>
    </row>
    <row r="190">
      <c r="A190" t="inlineStr">
        <is>
          <t>No</t>
        </is>
      </c>
      <c r="B190" t="inlineStr">
        <is>
          <t>CURAL</t>
        </is>
      </c>
      <c r="C190" t="inlineStr">
        <is>
          <t>SHELVES</t>
        </is>
      </c>
      <c r="D190" t="inlineStr">
        <is>
          <t>PQ2603.E362 Z92</t>
        </is>
      </c>
      <c r="E190" t="inlineStr">
        <is>
          <t>0                      PQ 2603000E  362                Z  92</t>
        </is>
      </c>
      <c r="F190" t="inlineStr">
        <is>
          <t>Simone de Beauvoir and the limits of commitment / Anne Whitmarsh.</t>
        </is>
      </c>
      <c r="H190" t="inlineStr">
        <is>
          <t>No</t>
        </is>
      </c>
      <c r="I190" t="inlineStr">
        <is>
          <t>1</t>
        </is>
      </c>
      <c r="J190" t="inlineStr">
        <is>
          <t>No</t>
        </is>
      </c>
      <c r="K190" t="inlineStr">
        <is>
          <t>No</t>
        </is>
      </c>
      <c r="L190" t="inlineStr">
        <is>
          <t>0</t>
        </is>
      </c>
      <c r="M190" t="inlineStr">
        <is>
          <t>Whitmarsh, Anne.</t>
        </is>
      </c>
      <c r="N190" t="inlineStr">
        <is>
          <t>Cambridge ; New York : Cambridge University Press, 1981.</t>
        </is>
      </c>
      <c r="O190" t="inlineStr">
        <is>
          <t>1981</t>
        </is>
      </c>
      <c r="Q190" t="inlineStr">
        <is>
          <t>eng</t>
        </is>
      </c>
      <c r="R190" t="inlineStr">
        <is>
          <t>enk</t>
        </is>
      </c>
      <c r="T190" t="inlineStr">
        <is>
          <t xml:space="preserve">PQ </t>
        </is>
      </c>
      <c r="U190" t="n">
        <v>3</v>
      </c>
      <c r="V190" t="n">
        <v>3</v>
      </c>
      <c r="W190" t="inlineStr">
        <is>
          <t>1997-08-18</t>
        </is>
      </c>
      <c r="X190" t="inlineStr">
        <is>
          <t>1997-08-18</t>
        </is>
      </c>
      <c r="Y190" t="inlineStr">
        <is>
          <t>1991-05-09</t>
        </is>
      </c>
      <c r="Z190" t="inlineStr">
        <is>
          <t>1991-05-09</t>
        </is>
      </c>
      <c r="AA190" t="n">
        <v>524</v>
      </c>
      <c r="AB190" t="n">
        <v>353</v>
      </c>
      <c r="AC190" t="n">
        <v>358</v>
      </c>
      <c r="AD190" t="n">
        <v>3</v>
      </c>
      <c r="AE190" t="n">
        <v>3</v>
      </c>
      <c r="AF190" t="n">
        <v>16</v>
      </c>
      <c r="AG190" t="n">
        <v>16</v>
      </c>
      <c r="AH190" t="n">
        <v>2</v>
      </c>
      <c r="AI190" t="n">
        <v>2</v>
      </c>
      <c r="AJ190" t="n">
        <v>6</v>
      </c>
      <c r="AK190" t="n">
        <v>6</v>
      </c>
      <c r="AL190" t="n">
        <v>11</v>
      </c>
      <c r="AM190" t="n">
        <v>11</v>
      </c>
      <c r="AN190" t="n">
        <v>2</v>
      </c>
      <c r="AO190" t="n">
        <v>2</v>
      </c>
      <c r="AP190" t="n">
        <v>0</v>
      </c>
      <c r="AQ190" t="n">
        <v>0</v>
      </c>
      <c r="AR190" t="inlineStr">
        <is>
          <t>No</t>
        </is>
      </c>
      <c r="AS190" t="inlineStr">
        <is>
          <t>No</t>
        </is>
      </c>
      <c r="AU190">
        <f>HYPERLINK("https://creighton-primo.hosted.exlibrisgroup.com/primo-explore/search?tab=default_tab&amp;search_scope=EVERYTHING&amp;vid=01CRU&amp;lang=en_US&amp;offset=0&amp;query=any,contains,991005129539702656","Catalog Record")</f>
        <v/>
      </c>
      <c r="AV190">
        <f>HYPERLINK("http://www.worldcat.org/oclc/7557423","WorldCat Record")</f>
        <v/>
      </c>
      <c r="AW190" t="inlineStr">
        <is>
          <t>504852:eng</t>
        </is>
      </c>
      <c r="AX190" t="inlineStr">
        <is>
          <t>7557423</t>
        </is>
      </c>
      <c r="AY190" t="inlineStr">
        <is>
          <t>991005129539702656</t>
        </is>
      </c>
      <c r="AZ190" t="inlineStr">
        <is>
          <t>991005129539702656</t>
        </is>
      </c>
      <c r="BA190" t="inlineStr">
        <is>
          <t>2262488220002656</t>
        </is>
      </c>
      <c r="BB190" t="inlineStr">
        <is>
          <t>BOOK</t>
        </is>
      </c>
      <c r="BD190" t="inlineStr">
        <is>
          <t>9780521236690</t>
        </is>
      </c>
      <c r="BE190" t="inlineStr">
        <is>
          <t>32285000603497</t>
        </is>
      </c>
      <c r="BF190" t="inlineStr">
        <is>
          <t>893776874</t>
        </is>
      </c>
    </row>
    <row r="191">
      <c r="A191" t="inlineStr">
        <is>
          <t>No</t>
        </is>
      </c>
      <c r="B191" t="inlineStr">
        <is>
          <t>CURAL</t>
        </is>
      </c>
      <c r="C191" t="inlineStr">
        <is>
          <t>SHELVES</t>
        </is>
      </c>
      <c r="D191" t="inlineStr">
        <is>
          <t>PQ2603.E378 Z55</t>
        </is>
      </c>
      <c r="E191" t="inlineStr">
        <is>
          <t>0                      PQ 2603000E  378                Z  55</t>
        </is>
      </c>
      <c r="F191" t="inlineStr">
        <is>
          <t>Samuel Beckett's real silence / Hélène L. Baldwin.</t>
        </is>
      </c>
      <c r="H191" t="inlineStr">
        <is>
          <t>No</t>
        </is>
      </c>
      <c r="I191" t="inlineStr">
        <is>
          <t>1</t>
        </is>
      </c>
      <c r="J191" t="inlineStr">
        <is>
          <t>No</t>
        </is>
      </c>
      <c r="K191" t="inlineStr">
        <is>
          <t>No</t>
        </is>
      </c>
      <c r="L191" t="inlineStr">
        <is>
          <t>0</t>
        </is>
      </c>
      <c r="M191" t="inlineStr">
        <is>
          <t>Baldwin, Helene Louise, 1920-</t>
        </is>
      </c>
      <c r="N191" t="inlineStr">
        <is>
          <t>University Park : Pennsylvania State University Press, c1981.</t>
        </is>
      </c>
      <c r="O191" t="inlineStr">
        <is>
          <t>1981</t>
        </is>
      </c>
      <c r="Q191" t="inlineStr">
        <is>
          <t>eng</t>
        </is>
      </c>
      <c r="R191" t="inlineStr">
        <is>
          <t>pau</t>
        </is>
      </c>
      <c r="T191" t="inlineStr">
        <is>
          <t xml:space="preserve">PQ </t>
        </is>
      </c>
      <c r="U191" t="n">
        <v>10</v>
      </c>
      <c r="V191" t="n">
        <v>10</v>
      </c>
      <c r="W191" t="inlineStr">
        <is>
          <t>2005-04-18</t>
        </is>
      </c>
      <c r="X191" t="inlineStr">
        <is>
          <t>2005-04-18</t>
        </is>
      </c>
      <c r="Y191" t="inlineStr">
        <is>
          <t>1991-05-09</t>
        </is>
      </c>
      <c r="Z191" t="inlineStr">
        <is>
          <t>1991-05-09</t>
        </is>
      </c>
      <c r="AA191" t="n">
        <v>585</v>
      </c>
      <c r="AB191" t="n">
        <v>471</v>
      </c>
      <c r="AC191" t="n">
        <v>475</v>
      </c>
      <c r="AD191" t="n">
        <v>5</v>
      </c>
      <c r="AE191" t="n">
        <v>5</v>
      </c>
      <c r="AF191" t="n">
        <v>28</v>
      </c>
      <c r="AG191" t="n">
        <v>28</v>
      </c>
      <c r="AH191" t="n">
        <v>9</v>
      </c>
      <c r="AI191" t="n">
        <v>9</v>
      </c>
      <c r="AJ191" t="n">
        <v>6</v>
      </c>
      <c r="AK191" t="n">
        <v>6</v>
      </c>
      <c r="AL191" t="n">
        <v>16</v>
      </c>
      <c r="AM191" t="n">
        <v>16</v>
      </c>
      <c r="AN191" t="n">
        <v>4</v>
      </c>
      <c r="AO191" t="n">
        <v>4</v>
      </c>
      <c r="AP191" t="n">
        <v>0</v>
      </c>
      <c r="AQ191" t="n">
        <v>0</v>
      </c>
      <c r="AR191" t="inlineStr">
        <is>
          <t>No</t>
        </is>
      </c>
      <c r="AS191" t="inlineStr">
        <is>
          <t>Yes</t>
        </is>
      </c>
      <c r="AT191">
        <f>HYPERLINK("http://catalog.hathitrust.org/Record/000139038","HathiTrust Record")</f>
        <v/>
      </c>
      <c r="AU191">
        <f>HYPERLINK("https://creighton-primo.hosted.exlibrisgroup.com/primo-explore/search?tab=default_tab&amp;search_scope=EVERYTHING&amp;vid=01CRU&amp;lang=en_US&amp;offset=0&amp;query=any,contains,991005055579702656","Catalog Record")</f>
        <v/>
      </c>
      <c r="AV191">
        <f>HYPERLINK("http://www.worldcat.org/oclc/6891273","WorldCat Record")</f>
        <v/>
      </c>
      <c r="AW191" t="inlineStr">
        <is>
          <t>430911:eng</t>
        </is>
      </c>
      <c r="AX191" t="inlineStr">
        <is>
          <t>6891273</t>
        </is>
      </c>
      <c r="AY191" t="inlineStr">
        <is>
          <t>991005055579702656</t>
        </is>
      </c>
      <c r="AZ191" t="inlineStr">
        <is>
          <t>991005055579702656</t>
        </is>
      </c>
      <c r="BA191" t="inlineStr">
        <is>
          <t>2262063130002656</t>
        </is>
      </c>
      <c r="BB191" t="inlineStr">
        <is>
          <t>BOOK</t>
        </is>
      </c>
      <c r="BD191" t="inlineStr">
        <is>
          <t>9780271003016</t>
        </is>
      </c>
      <c r="BE191" t="inlineStr">
        <is>
          <t>32285000603547</t>
        </is>
      </c>
      <c r="BF191" t="inlineStr">
        <is>
          <t>893263576</t>
        </is>
      </c>
    </row>
    <row r="192">
      <c r="A192" t="inlineStr">
        <is>
          <t>No</t>
        </is>
      </c>
      <c r="B192" t="inlineStr">
        <is>
          <t>CURAL</t>
        </is>
      </c>
      <c r="C192" t="inlineStr">
        <is>
          <t>SHELVES</t>
        </is>
      </c>
      <c r="D192" t="inlineStr">
        <is>
          <t>PQ2603.E378 Z87 1991</t>
        </is>
      </c>
      <c r="E192" t="inlineStr">
        <is>
          <t>0                      PQ 2603000E  378                Z  87          1991</t>
        </is>
      </c>
      <c r="F192" t="inlineStr">
        <is>
          <t>Beckett's game : self and language in the trilogy / Jean Yamasaki Toyama.</t>
        </is>
      </c>
      <c r="H192" t="inlineStr">
        <is>
          <t>No</t>
        </is>
      </c>
      <c r="I192" t="inlineStr">
        <is>
          <t>1</t>
        </is>
      </c>
      <c r="J192" t="inlineStr">
        <is>
          <t>No</t>
        </is>
      </c>
      <c r="K192" t="inlineStr">
        <is>
          <t>No</t>
        </is>
      </c>
      <c r="L192" t="inlineStr">
        <is>
          <t>0</t>
        </is>
      </c>
      <c r="M192" t="inlineStr">
        <is>
          <t>Toyama, Jean Yamasaki, 1942-</t>
        </is>
      </c>
      <c r="N192" t="inlineStr">
        <is>
          <t>New York : P. Lang, c1991.</t>
        </is>
      </c>
      <c r="O192" t="inlineStr">
        <is>
          <t>1991</t>
        </is>
      </c>
      <c r="Q192" t="inlineStr">
        <is>
          <t>eng</t>
        </is>
      </c>
      <c r="R192" t="inlineStr">
        <is>
          <t>nyu</t>
        </is>
      </c>
      <c r="S192" t="inlineStr">
        <is>
          <t>American university studies. Series II, Romance languages and literature, 0740-9257 ; v. 157</t>
        </is>
      </c>
      <c r="T192" t="inlineStr">
        <is>
          <t xml:space="preserve">PQ </t>
        </is>
      </c>
      <c r="U192" t="n">
        <v>6</v>
      </c>
      <c r="V192" t="n">
        <v>6</v>
      </c>
      <c r="W192" t="inlineStr">
        <is>
          <t>1997-10-14</t>
        </is>
      </c>
      <c r="X192" t="inlineStr">
        <is>
          <t>1997-10-14</t>
        </is>
      </c>
      <c r="Y192" t="inlineStr">
        <is>
          <t>1992-05-11</t>
        </is>
      </c>
      <c r="Z192" t="inlineStr">
        <is>
          <t>1992-05-11</t>
        </is>
      </c>
      <c r="AA192" t="n">
        <v>116</v>
      </c>
      <c r="AB192" t="n">
        <v>65</v>
      </c>
      <c r="AC192" t="n">
        <v>66</v>
      </c>
      <c r="AD192" t="n">
        <v>1</v>
      </c>
      <c r="AE192" t="n">
        <v>1</v>
      </c>
      <c r="AF192" t="n">
        <v>5</v>
      </c>
      <c r="AG192" t="n">
        <v>5</v>
      </c>
      <c r="AH192" t="n">
        <v>1</v>
      </c>
      <c r="AI192" t="n">
        <v>1</v>
      </c>
      <c r="AJ192" t="n">
        <v>2</v>
      </c>
      <c r="AK192" t="n">
        <v>2</v>
      </c>
      <c r="AL192" t="n">
        <v>3</v>
      </c>
      <c r="AM192" t="n">
        <v>3</v>
      </c>
      <c r="AN192" t="n">
        <v>0</v>
      </c>
      <c r="AO192" t="n">
        <v>0</v>
      </c>
      <c r="AP192" t="n">
        <v>0</v>
      </c>
      <c r="AQ192" t="n">
        <v>0</v>
      </c>
      <c r="AR192" t="inlineStr">
        <is>
          <t>No</t>
        </is>
      </c>
      <c r="AS192" t="inlineStr">
        <is>
          <t>No</t>
        </is>
      </c>
      <c r="AU192">
        <f>HYPERLINK("https://creighton-primo.hosted.exlibrisgroup.com/primo-explore/search?tab=default_tab&amp;search_scope=EVERYTHING&amp;vid=01CRU&amp;lang=en_US&amp;offset=0&amp;query=any,contains,991001769129702656","Catalog Record")</f>
        <v/>
      </c>
      <c r="AV192">
        <f>HYPERLINK("http://www.worldcat.org/oclc/22345787","WorldCat Record")</f>
        <v/>
      </c>
      <c r="AW192" t="inlineStr">
        <is>
          <t>796475210:eng</t>
        </is>
      </c>
      <c r="AX192" t="inlineStr">
        <is>
          <t>22345787</t>
        </is>
      </c>
      <c r="AY192" t="inlineStr">
        <is>
          <t>991001769129702656</t>
        </is>
      </c>
      <c r="AZ192" t="inlineStr">
        <is>
          <t>991001769129702656</t>
        </is>
      </c>
      <c r="BA192" t="inlineStr">
        <is>
          <t>2257866340002656</t>
        </is>
      </c>
      <c r="BB192" t="inlineStr">
        <is>
          <t>BOOK</t>
        </is>
      </c>
      <c r="BD192" t="inlineStr">
        <is>
          <t>9780820413983</t>
        </is>
      </c>
      <c r="BE192" t="inlineStr">
        <is>
          <t>32285001039535</t>
        </is>
      </c>
      <c r="BF192" t="inlineStr">
        <is>
          <t>893903559</t>
        </is>
      </c>
    </row>
    <row r="193">
      <c r="A193" t="inlineStr">
        <is>
          <t>No</t>
        </is>
      </c>
      <c r="B193" t="inlineStr">
        <is>
          <t>CURAL</t>
        </is>
      </c>
      <c r="C193" t="inlineStr">
        <is>
          <t>SHELVES</t>
        </is>
      </c>
      <c r="D193" t="inlineStr">
        <is>
          <t>PQ2603.E378 Z95 1991</t>
        </is>
      </c>
      <c r="E193" t="inlineStr">
        <is>
          <t>0                      PQ 2603000E  378                Z  95          1991</t>
        </is>
      </c>
      <c r="F193" t="inlineStr">
        <is>
          <t>Paradox and desire in Samuel Beckett's fiction / David Watson.</t>
        </is>
      </c>
      <c r="H193" t="inlineStr">
        <is>
          <t>No</t>
        </is>
      </c>
      <c r="I193" t="inlineStr">
        <is>
          <t>1</t>
        </is>
      </c>
      <c r="J193" t="inlineStr">
        <is>
          <t>No</t>
        </is>
      </c>
      <c r="K193" t="inlineStr">
        <is>
          <t>No</t>
        </is>
      </c>
      <c r="L193" t="inlineStr">
        <is>
          <t>0</t>
        </is>
      </c>
      <c r="M193" t="inlineStr">
        <is>
          <t>Watson, David, 1949-</t>
        </is>
      </c>
      <c r="N193" t="inlineStr">
        <is>
          <t>London : Macmillan, 1991.</t>
        </is>
      </c>
      <c r="O193" t="inlineStr">
        <is>
          <t>1991</t>
        </is>
      </c>
      <c r="Q193" t="inlineStr">
        <is>
          <t>eng</t>
        </is>
      </c>
      <c r="R193" t="inlineStr">
        <is>
          <t>enk</t>
        </is>
      </c>
      <c r="T193" t="inlineStr">
        <is>
          <t xml:space="preserve">PQ </t>
        </is>
      </c>
      <c r="U193" t="n">
        <v>6</v>
      </c>
      <c r="V193" t="n">
        <v>6</v>
      </c>
      <c r="W193" t="inlineStr">
        <is>
          <t>1997-10-14</t>
        </is>
      </c>
      <c r="X193" t="inlineStr">
        <is>
          <t>1997-10-14</t>
        </is>
      </c>
      <c r="Y193" t="inlineStr">
        <is>
          <t>1991-12-13</t>
        </is>
      </c>
      <c r="Z193" t="inlineStr">
        <is>
          <t>1991-12-13</t>
        </is>
      </c>
      <c r="AA193" t="n">
        <v>95</v>
      </c>
      <c r="AB193" t="n">
        <v>41</v>
      </c>
      <c r="AC193" t="n">
        <v>225</v>
      </c>
      <c r="AD193" t="n">
        <v>2</v>
      </c>
      <c r="AE193" t="n">
        <v>3</v>
      </c>
      <c r="AF193" t="n">
        <v>2</v>
      </c>
      <c r="AG193" t="n">
        <v>17</v>
      </c>
      <c r="AH193" t="n">
        <v>1</v>
      </c>
      <c r="AI193" t="n">
        <v>6</v>
      </c>
      <c r="AJ193" t="n">
        <v>1</v>
      </c>
      <c r="AK193" t="n">
        <v>6</v>
      </c>
      <c r="AL193" t="n">
        <v>0</v>
      </c>
      <c r="AM193" t="n">
        <v>9</v>
      </c>
      <c r="AN193" t="n">
        <v>1</v>
      </c>
      <c r="AO193" t="n">
        <v>2</v>
      </c>
      <c r="AP193" t="n">
        <v>0</v>
      </c>
      <c r="AQ193" t="n">
        <v>0</v>
      </c>
      <c r="AR193" t="inlineStr">
        <is>
          <t>No</t>
        </is>
      </c>
      <c r="AS193" t="inlineStr">
        <is>
          <t>Yes</t>
        </is>
      </c>
      <c r="AT193">
        <f>HYPERLINK("http://catalog.hathitrust.org/Record/002476856","HathiTrust Record")</f>
        <v/>
      </c>
      <c r="AU193">
        <f>HYPERLINK("https://creighton-primo.hosted.exlibrisgroup.com/primo-explore/search?tab=default_tab&amp;search_scope=EVERYTHING&amp;vid=01CRU&amp;lang=en_US&amp;offset=0&amp;query=any,contains,991001661009702656","Catalog Record")</f>
        <v/>
      </c>
      <c r="AV193">
        <f>HYPERLINK("http://www.worldcat.org/oclc/26811122","WorldCat Record")</f>
        <v/>
      </c>
      <c r="AW193" t="inlineStr">
        <is>
          <t>23104145:eng</t>
        </is>
      </c>
      <c r="AX193" t="inlineStr">
        <is>
          <t>26811122</t>
        </is>
      </c>
      <c r="AY193" t="inlineStr">
        <is>
          <t>991001661009702656</t>
        </is>
      </c>
      <c r="AZ193" t="inlineStr">
        <is>
          <t>991001661009702656</t>
        </is>
      </c>
      <c r="BA193" t="inlineStr">
        <is>
          <t>2259750730002656</t>
        </is>
      </c>
      <c r="BB193" t="inlineStr">
        <is>
          <t>BOOK</t>
        </is>
      </c>
      <c r="BD193" t="inlineStr">
        <is>
          <t>9780333522516</t>
        </is>
      </c>
      <c r="BE193" t="inlineStr">
        <is>
          <t>32285000819069</t>
        </is>
      </c>
      <c r="BF193" t="inlineStr">
        <is>
          <t>893232135</t>
        </is>
      </c>
    </row>
    <row r="194">
      <c r="A194" t="inlineStr">
        <is>
          <t>No</t>
        </is>
      </c>
      <c r="B194" t="inlineStr">
        <is>
          <t>CURAL</t>
        </is>
      </c>
      <c r="C194" t="inlineStr">
        <is>
          <t>SHELVES</t>
        </is>
      </c>
      <c r="D194" t="inlineStr">
        <is>
          <t>PQ2603.O7687 A9</t>
        </is>
      </c>
      <c r="E194" t="inlineStr">
        <is>
          <t>0                      PQ 2603000O  7687               A  9</t>
        </is>
      </c>
      <c r="F194" t="inlineStr">
        <is>
          <t>Les aveux infidèles; [roman.</t>
        </is>
      </c>
      <c r="H194" t="inlineStr">
        <is>
          <t>No</t>
        </is>
      </c>
      <c r="I194" t="inlineStr">
        <is>
          <t>1</t>
        </is>
      </c>
      <c r="J194" t="inlineStr">
        <is>
          <t>No</t>
        </is>
      </c>
      <c r="K194" t="inlineStr">
        <is>
          <t>No</t>
        </is>
      </c>
      <c r="L194" t="inlineStr">
        <is>
          <t>0</t>
        </is>
      </c>
      <c r="M194" t="inlineStr">
        <is>
          <t>Bourbon Busset, Jacques de, 1912-2001.</t>
        </is>
      </c>
      <c r="N194" t="inlineStr">
        <is>
          <t>Paris] Gallimard [1962]</t>
        </is>
      </c>
      <c r="O194" t="inlineStr">
        <is>
          <t>1962</t>
        </is>
      </c>
      <c r="Q194" t="inlineStr">
        <is>
          <t>fre</t>
        </is>
      </c>
      <c r="R194" t="inlineStr">
        <is>
          <t xml:space="preserve">fr </t>
        </is>
      </c>
      <c r="T194" t="inlineStr">
        <is>
          <t xml:space="preserve">PQ </t>
        </is>
      </c>
      <c r="U194" t="n">
        <v>2</v>
      </c>
      <c r="V194" t="n">
        <v>2</v>
      </c>
      <c r="W194" t="inlineStr">
        <is>
          <t>1997-09-15</t>
        </is>
      </c>
      <c r="X194" t="inlineStr">
        <is>
          <t>1997-09-15</t>
        </is>
      </c>
      <c r="Y194" t="inlineStr">
        <is>
          <t>1997-05-20</t>
        </is>
      </c>
      <c r="Z194" t="inlineStr">
        <is>
          <t>1997-05-20</t>
        </is>
      </c>
      <c r="AA194" t="n">
        <v>78</v>
      </c>
      <c r="AB194" t="n">
        <v>55</v>
      </c>
      <c r="AC194" t="n">
        <v>69</v>
      </c>
      <c r="AD194" t="n">
        <v>1</v>
      </c>
      <c r="AE194" t="n">
        <v>2</v>
      </c>
      <c r="AF194" t="n">
        <v>3</v>
      </c>
      <c r="AG194" t="n">
        <v>4</v>
      </c>
      <c r="AH194" t="n">
        <v>0</v>
      </c>
      <c r="AI194" t="n">
        <v>0</v>
      </c>
      <c r="AJ194" t="n">
        <v>0</v>
      </c>
      <c r="AK194" t="n">
        <v>0</v>
      </c>
      <c r="AL194" t="n">
        <v>3</v>
      </c>
      <c r="AM194" t="n">
        <v>3</v>
      </c>
      <c r="AN194" t="n">
        <v>0</v>
      </c>
      <c r="AO194" t="n">
        <v>1</v>
      </c>
      <c r="AP194" t="n">
        <v>0</v>
      </c>
      <c r="AQ194" t="n">
        <v>0</v>
      </c>
      <c r="AR194" t="inlineStr">
        <is>
          <t>No</t>
        </is>
      </c>
      <c r="AS194" t="inlineStr">
        <is>
          <t>Yes</t>
        </is>
      </c>
      <c r="AT194">
        <f>HYPERLINK("http://catalog.hathitrust.org/Record/006644486","HathiTrust Record")</f>
        <v/>
      </c>
      <c r="AU194">
        <f>HYPERLINK("https://creighton-primo.hosted.exlibrisgroup.com/primo-explore/search?tab=default_tab&amp;search_scope=EVERYTHING&amp;vid=01CRU&amp;lang=en_US&amp;offset=0&amp;query=any,contains,991003407269702656","Catalog Record")</f>
        <v/>
      </c>
      <c r="AV194">
        <f>HYPERLINK("http://www.worldcat.org/oclc/947099","WorldCat Record")</f>
        <v/>
      </c>
      <c r="AW194" t="inlineStr">
        <is>
          <t>4161029074:fre</t>
        </is>
      </c>
      <c r="AX194" t="inlineStr">
        <is>
          <t>947099</t>
        </is>
      </c>
      <c r="AY194" t="inlineStr">
        <is>
          <t>991003407269702656</t>
        </is>
      </c>
      <c r="AZ194" t="inlineStr">
        <is>
          <t>991003407269702656</t>
        </is>
      </c>
      <c r="BA194" t="inlineStr">
        <is>
          <t>2264515460002656</t>
        </is>
      </c>
      <c r="BB194" t="inlineStr">
        <is>
          <t>BOOK</t>
        </is>
      </c>
      <c r="BE194" t="inlineStr">
        <is>
          <t>32285002727591</t>
        </is>
      </c>
      <c r="BF194" t="inlineStr">
        <is>
          <t>893240185</t>
        </is>
      </c>
    </row>
    <row r="195">
      <c r="A195" t="inlineStr">
        <is>
          <t>No</t>
        </is>
      </c>
      <c r="B195" t="inlineStr">
        <is>
          <t>CURAL</t>
        </is>
      </c>
      <c r="C195" t="inlineStr">
        <is>
          <t>SHELVES</t>
        </is>
      </c>
      <c r="D195" t="inlineStr">
        <is>
          <t>PQ2603.R9453 Z95 1989</t>
        </is>
      </c>
      <c r="E195" t="inlineStr">
        <is>
          <t>0                      PQ 2603000R  9453               Z  95          1989</t>
        </is>
      </c>
      <c r="F195" t="inlineStr">
        <is>
          <t>The art of Babar : the work of Jean and Laurent de Brunhoff / by Nicholas Fox Weber.</t>
        </is>
      </c>
      <c r="H195" t="inlineStr">
        <is>
          <t>No</t>
        </is>
      </c>
      <c r="I195" t="inlineStr">
        <is>
          <t>1</t>
        </is>
      </c>
      <c r="J195" t="inlineStr">
        <is>
          <t>No</t>
        </is>
      </c>
      <c r="K195" t="inlineStr">
        <is>
          <t>No</t>
        </is>
      </c>
      <c r="L195" t="inlineStr">
        <is>
          <t>0</t>
        </is>
      </c>
      <c r="M195" t="inlineStr">
        <is>
          <t>Weber, Nicholas Fox, 1947-</t>
        </is>
      </c>
      <c r="N195" t="inlineStr">
        <is>
          <t>New York : Abrams, 1989.</t>
        </is>
      </c>
      <c r="O195" t="inlineStr">
        <is>
          <t>1989</t>
        </is>
      </c>
      <c r="Q195" t="inlineStr">
        <is>
          <t>eng</t>
        </is>
      </c>
      <c r="R195" t="inlineStr">
        <is>
          <t>nyu</t>
        </is>
      </c>
      <c r="T195" t="inlineStr">
        <is>
          <t xml:space="preserve">PQ </t>
        </is>
      </c>
      <c r="U195" t="n">
        <v>3</v>
      </c>
      <c r="V195" t="n">
        <v>3</v>
      </c>
      <c r="W195" t="inlineStr">
        <is>
          <t>1996-08-30</t>
        </is>
      </c>
      <c r="X195" t="inlineStr">
        <is>
          <t>1996-08-30</t>
        </is>
      </c>
      <c r="Y195" t="inlineStr">
        <is>
          <t>1989-12-05</t>
        </is>
      </c>
      <c r="Z195" t="inlineStr">
        <is>
          <t>1989-12-05</t>
        </is>
      </c>
      <c r="AA195" t="n">
        <v>567</v>
      </c>
      <c r="AB195" t="n">
        <v>499</v>
      </c>
      <c r="AC195" t="n">
        <v>530</v>
      </c>
      <c r="AD195" t="n">
        <v>5</v>
      </c>
      <c r="AE195" t="n">
        <v>5</v>
      </c>
      <c r="AF195" t="n">
        <v>9</v>
      </c>
      <c r="AG195" t="n">
        <v>9</v>
      </c>
      <c r="AH195" t="n">
        <v>2</v>
      </c>
      <c r="AI195" t="n">
        <v>2</v>
      </c>
      <c r="AJ195" t="n">
        <v>3</v>
      </c>
      <c r="AK195" t="n">
        <v>3</v>
      </c>
      <c r="AL195" t="n">
        <v>3</v>
      </c>
      <c r="AM195" t="n">
        <v>3</v>
      </c>
      <c r="AN195" t="n">
        <v>2</v>
      </c>
      <c r="AO195" t="n">
        <v>2</v>
      </c>
      <c r="AP195" t="n">
        <v>0</v>
      </c>
      <c r="AQ195" t="n">
        <v>0</v>
      </c>
      <c r="AR195" t="inlineStr">
        <is>
          <t>No</t>
        </is>
      </c>
      <c r="AS195" t="inlineStr">
        <is>
          <t>Yes</t>
        </is>
      </c>
      <c r="AT195">
        <f>HYPERLINK("http://catalog.hathitrust.org/Record/009920916","HathiTrust Record")</f>
        <v/>
      </c>
      <c r="AU195">
        <f>HYPERLINK("https://creighton-primo.hosted.exlibrisgroup.com/primo-explore/search?tab=default_tab&amp;search_scope=EVERYTHING&amp;vid=01CRU&amp;lang=en_US&amp;offset=0&amp;query=any,contains,991001439619702656","Catalog Record")</f>
        <v/>
      </c>
      <c r="AV195">
        <f>HYPERLINK("http://www.worldcat.org/oclc/19222542","WorldCat Record")</f>
        <v/>
      </c>
      <c r="AW195" t="inlineStr">
        <is>
          <t>919086178:eng</t>
        </is>
      </c>
      <c r="AX195" t="inlineStr">
        <is>
          <t>19222542</t>
        </is>
      </c>
      <c r="AY195" t="inlineStr">
        <is>
          <t>991001439619702656</t>
        </is>
      </c>
      <c r="AZ195" t="inlineStr">
        <is>
          <t>991001439619702656</t>
        </is>
      </c>
      <c r="BA195" t="inlineStr">
        <is>
          <t>2259395370002656</t>
        </is>
      </c>
      <c r="BB195" t="inlineStr">
        <is>
          <t>BOOK</t>
        </is>
      </c>
      <c r="BD195" t="inlineStr">
        <is>
          <t>9780810918931</t>
        </is>
      </c>
      <c r="BE195" t="inlineStr">
        <is>
          <t>32285000016815</t>
        </is>
      </c>
      <c r="BF195" t="inlineStr">
        <is>
          <t>893596477</t>
        </is>
      </c>
    </row>
    <row r="196">
      <c r="A196" t="inlineStr">
        <is>
          <t>No</t>
        </is>
      </c>
      <c r="B196" t="inlineStr">
        <is>
          <t>CURAL</t>
        </is>
      </c>
      <c r="C196" t="inlineStr">
        <is>
          <t>SHELVES</t>
        </is>
      </c>
      <c r="D196" t="inlineStr">
        <is>
          <t>PQ2603.U73 M65 1970</t>
        </is>
      </c>
      <c r="E196" t="inlineStr">
        <is>
          <t>0                      PQ 2603000U  73                 M  65          1970</t>
        </is>
      </c>
      <c r="F196" t="inlineStr">
        <is>
          <t>La modification / présenté par Jacques Guicharnaud.</t>
        </is>
      </c>
      <c r="H196" t="inlineStr">
        <is>
          <t>No</t>
        </is>
      </c>
      <c r="I196" t="inlineStr">
        <is>
          <t>1</t>
        </is>
      </c>
      <c r="J196" t="inlineStr">
        <is>
          <t>No</t>
        </is>
      </c>
      <c r="K196" t="inlineStr">
        <is>
          <t>No</t>
        </is>
      </c>
      <c r="L196" t="inlineStr">
        <is>
          <t>0</t>
        </is>
      </c>
      <c r="M196" t="inlineStr">
        <is>
          <t>Butor, Michel.</t>
        </is>
      </c>
      <c r="N196" t="inlineStr">
        <is>
          <t>Waltham, Mass. : Ginn, [1970]</t>
        </is>
      </c>
      <c r="O196" t="inlineStr">
        <is>
          <t>1970</t>
        </is>
      </c>
      <c r="Q196" t="inlineStr">
        <is>
          <t>fre</t>
        </is>
      </c>
      <c r="R196" t="inlineStr">
        <is>
          <t>mau</t>
        </is>
      </c>
      <c r="S196" t="inlineStr">
        <is>
          <t>The Ginn French literature series</t>
        </is>
      </c>
      <c r="T196" t="inlineStr">
        <is>
          <t xml:space="preserve">PQ </t>
        </is>
      </c>
      <c r="U196" t="n">
        <v>1</v>
      </c>
      <c r="V196" t="n">
        <v>1</v>
      </c>
      <c r="W196" t="inlineStr">
        <is>
          <t>1994-03-16</t>
        </is>
      </c>
      <c r="X196" t="inlineStr">
        <is>
          <t>1994-03-16</t>
        </is>
      </c>
      <c r="Y196" t="inlineStr">
        <is>
          <t>1994-01-04</t>
        </is>
      </c>
      <c r="Z196" t="inlineStr">
        <is>
          <t>1994-01-04</t>
        </is>
      </c>
      <c r="AA196" t="n">
        <v>43</v>
      </c>
      <c r="AB196" t="n">
        <v>35</v>
      </c>
      <c r="AC196" t="n">
        <v>683</v>
      </c>
      <c r="AD196" t="n">
        <v>1</v>
      </c>
      <c r="AE196" t="n">
        <v>5</v>
      </c>
      <c r="AF196" t="n">
        <v>3</v>
      </c>
      <c r="AG196" t="n">
        <v>36</v>
      </c>
      <c r="AH196" t="n">
        <v>1</v>
      </c>
      <c r="AI196" t="n">
        <v>14</v>
      </c>
      <c r="AJ196" t="n">
        <v>1</v>
      </c>
      <c r="AK196" t="n">
        <v>8</v>
      </c>
      <c r="AL196" t="n">
        <v>2</v>
      </c>
      <c r="AM196" t="n">
        <v>19</v>
      </c>
      <c r="AN196" t="n">
        <v>0</v>
      </c>
      <c r="AO196" t="n">
        <v>4</v>
      </c>
      <c r="AP196" t="n">
        <v>0</v>
      </c>
      <c r="AQ196" t="n">
        <v>0</v>
      </c>
      <c r="AR196" t="inlineStr">
        <is>
          <t>No</t>
        </is>
      </c>
      <c r="AS196" t="inlineStr">
        <is>
          <t>No</t>
        </is>
      </c>
      <c r="AU196">
        <f>HYPERLINK("https://creighton-primo.hosted.exlibrisgroup.com/primo-explore/search?tab=default_tab&amp;search_scope=EVERYTHING&amp;vid=01CRU&amp;lang=en_US&amp;offset=0&amp;query=any,contains,991004454769702656","Catalog Record")</f>
        <v/>
      </c>
      <c r="AV196">
        <f>HYPERLINK("http://www.worldcat.org/oclc/3518477","WorldCat Record")</f>
        <v/>
      </c>
      <c r="AW196" t="inlineStr">
        <is>
          <t>1886310:fre</t>
        </is>
      </c>
      <c r="AX196" t="inlineStr">
        <is>
          <t>3518477</t>
        </is>
      </c>
      <c r="AY196" t="inlineStr">
        <is>
          <t>991004454769702656</t>
        </is>
      </c>
      <c r="AZ196" t="inlineStr">
        <is>
          <t>991004454769702656</t>
        </is>
      </c>
      <c r="BA196" t="inlineStr">
        <is>
          <t>2271689810002656</t>
        </is>
      </c>
      <c r="BB196" t="inlineStr">
        <is>
          <t>BOOK</t>
        </is>
      </c>
      <c r="BE196" t="inlineStr">
        <is>
          <t>32285001827905</t>
        </is>
      </c>
      <c r="BF196" t="inlineStr">
        <is>
          <t>893700267</t>
        </is>
      </c>
    </row>
    <row r="197">
      <c r="A197" t="inlineStr">
        <is>
          <t>No</t>
        </is>
      </c>
      <c r="B197" t="inlineStr">
        <is>
          <t>CURAL</t>
        </is>
      </c>
      <c r="C197" t="inlineStr">
        <is>
          <t>SHELVES</t>
        </is>
      </c>
      <c r="D197" t="inlineStr">
        <is>
          <t>PQ2605.A3734 C536</t>
        </is>
      </c>
      <c r="E197" t="inlineStr">
        <is>
          <t>0                      PQ 2605000A  3734               C  536</t>
        </is>
      </c>
      <c r="F197" t="inlineStr">
        <is>
          <t>La chute de Camus : ou, Le dernier testament : étude du message camusien de responsabilité et d'authenticité selon La chute / Phan Thị Ngọc-Mai, Pierre Nguyen Van-Huy ; avec la collab. de Jean-René Peltier.</t>
        </is>
      </c>
      <c r="H197" t="inlineStr">
        <is>
          <t>No</t>
        </is>
      </c>
      <c r="I197" t="inlineStr">
        <is>
          <t>1</t>
        </is>
      </c>
      <c r="J197" t="inlineStr">
        <is>
          <t>No</t>
        </is>
      </c>
      <c r="K197" t="inlineStr">
        <is>
          <t>No</t>
        </is>
      </c>
      <c r="L197" t="inlineStr">
        <is>
          <t>0</t>
        </is>
      </c>
      <c r="M197" t="inlineStr">
        <is>
          <t>Phan Thị Ngọc Mai.</t>
        </is>
      </c>
      <c r="N197" t="inlineStr">
        <is>
          <t>Neuchâtel : Éditions de la Baconnière, 1974.</t>
        </is>
      </c>
      <c r="O197" t="inlineStr">
        <is>
          <t>1974</t>
        </is>
      </c>
      <c r="Q197" t="inlineStr">
        <is>
          <t>fre</t>
        </is>
      </c>
      <c r="R197" t="inlineStr">
        <is>
          <t xml:space="preserve">sz </t>
        </is>
      </c>
      <c r="S197" t="inlineStr">
        <is>
          <t>Etudes littéraires</t>
        </is>
      </c>
      <c r="T197" t="inlineStr">
        <is>
          <t xml:space="preserve">PQ </t>
        </is>
      </c>
      <c r="U197" t="n">
        <v>2</v>
      </c>
      <c r="V197" t="n">
        <v>2</v>
      </c>
      <c r="W197" t="inlineStr">
        <is>
          <t>2001-02-07</t>
        </is>
      </c>
      <c r="X197" t="inlineStr">
        <is>
          <t>2001-02-07</t>
        </is>
      </c>
      <c r="Y197" t="inlineStr">
        <is>
          <t>1997-05-20</t>
        </is>
      </c>
      <c r="Z197" t="inlineStr">
        <is>
          <t>1997-05-20</t>
        </is>
      </c>
      <c r="AA197" t="n">
        <v>145</v>
      </c>
      <c r="AB197" t="n">
        <v>91</v>
      </c>
      <c r="AC197" t="n">
        <v>92</v>
      </c>
      <c r="AD197" t="n">
        <v>2</v>
      </c>
      <c r="AE197" t="n">
        <v>2</v>
      </c>
      <c r="AF197" t="n">
        <v>6</v>
      </c>
      <c r="AG197" t="n">
        <v>6</v>
      </c>
      <c r="AH197" t="n">
        <v>1</v>
      </c>
      <c r="AI197" t="n">
        <v>1</v>
      </c>
      <c r="AJ197" t="n">
        <v>1</v>
      </c>
      <c r="AK197" t="n">
        <v>1</v>
      </c>
      <c r="AL197" t="n">
        <v>4</v>
      </c>
      <c r="AM197" t="n">
        <v>4</v>
      </c>
      <c r="AN197" t="n">
        <v>1</v>
      </c>
      <c r="AO197" t="n">
        <v>1</v>
      </c>
      <c r="AP197" t="n">
        <v>0</v>
      </c>
      <c r="AQ197" t="n">
        <v>0</v>
      </c>
      <c r="AR197" t="inlineStr">
        <is>
          <t>No</t>
        </is>
      </c>
      <c r="AS197" t="inlineStr">
        <is>
          <t>Yes</t>
        </is>
      </c>
      <c r="AT197">
        <f>HYPERLINK("http://catalog.hathitrust.org/Record/000718096","HathiTrust Record")</f>
        <v/>
      </c>
      <c r="AU197">
        <f>HYPERLINK("https://creighton-primo.hosted.exlibrisgroup.com/primo-explore/search?tab=default_tab&amp;search_scope=EVERYTHING&amp;vid=01CRU&amp;lang=en_US&amp;offset=0&amp;query=any,contains,991003703819702656","Catalog Record")</f>
        <v/>
      </c>
      <c r="AV197">
        <f>HYPERLINK("http://www.worldcat.org/oclc/1340298","WorldCat Record")</f>
        <v/>
      </c>
      <c r="AW197" t="inlineStr">
        <is>
          <t>876053996:fre</t>
        </is>
      </c>
      <c r="AX197" t="inlineStr">
        <is>
          <t>1340298</t>
        </is>
      </c>
      <c r="AY197" t="inlineStr">
        <is>
          <t>991003703819702656</t>
        </is>
      </c>
      <c r="AZ197" t="inlineStr">
        <is>
          <t>991003703819702656</t>
        </is>
      </c>
      <c r="BA197" t="inlineStr">
        <is>
          <t>2261865580002656</t>
        </is>
      </c>
      <c r="BB197" t="inlineStr">
        <is>
          <t>BOOK</t>
        </is>
      </c>
      <c r="BE197" t="inlineStr">
        <is>
          <t>32285002727765</t>
        </is>
      </c>
      <c r="BF197" t="inlineStr">
        <is>
          <t>893875061</t>
        </is>
      </c>
    </row>
    <row r="198">
      <c r="A198" t="inlineStr">
        <is>
          <t>No</t>
        </is>
      </c>
      <c r="B198" t="inlineStr">
        <is>
          <t>CURAL</t>
        </is>
      </c>
      <c r="C198" t="inlineStr">
        <is>
          <t>SHELVES</t>
        </is>
      </c>
      <c r="D198" t="inlineStr">
        <is>
          <t>PQ2605.A3734 Z553</t>
        </is>
      </c>
      <c r="E198" t="inlineStr">
        <is>
          <t>0                      PQ 2605000A  3734               Z  553</t>
        </is>
      </c>
      <c r="F198" t="inlineStr">
        <is>
          <t>Witness of decline : Albert Camus: moralist of the absurd / Lev Braun.</t>
        </is>
      </c>
      <c r="H198" t="inlineStr">
        <is>
          <t>No</t>
        </is>
      </c>
      <c r="I198" t="inlineStr">
        <is>
          <t>1</t>
        </is>
      </c>
      <c r="J198" t="inlineStr">
        <is>
          <t>No</t>
        </is>
      </c>
      <c r="K198" t="inlineStr">
        <is>
          <t>No</t>
        </is>
      </c>
      <c r="L198" t="inlineStr">
        <is>
          <t>0</t>
        </is>
      </c>
      <c r="M198" t="inlineStr">
        <is>
          <t>Braun, Lev.</t>
        </is>
      </c>
      <c r="N198" t="inlineStr">
        <is>
          <t>Rutherford [N.J.] : Fairleigh Dickinson University Press, 1974.</t>
        </is>
      </c>
      <c r="O198" t="inlineStr">
        <is>
          <t>1974</t>
        </is>
      </c>
      <c r="Q198" t="inlineStr">
        <is>
          <t>eng</t>
        </is>
      </c>
      <c r="R198" t="inlineStr">
        <is>
          <t>nju</t>
        </is>
      </c>
      <c r="T198" t="inlineStr">
        <is>
          <t xml:space="preserve">PQ </t>
        </is>
      </c>
      <c r="U198" t="n">
        <v>3</v>
      </c>
      <c r="V198" t="n">
        <v>3</v>
      </c>
      <c r="W198" t="inlineStr">
        <is>
          <t>1995-04-14</t>
        </is>
      </c>
      <c r="X198" t="inlineStr">
        <is>
          <t>1995-04-14</t>
        </is>
      </c>
      <c r="Y198" t="inlineStr">
        <is>
          <t>1991-05-14</t>
        </is>
      </c>
      <c r="Z198" t="inlineStr">
        <is>
          <t>1991-05-14</t>
        </is>
      </c>
      <c r="AA198" t="n">
        <v>718</v>
      </c>
      <c r="AB198" t="n">
        <v>601</v>
      </c>
      <c r="AC198" t="n">
        <v>612</v>
      </c>
      <c r="AD198" t="n">
        <v>5</v>
      </c>
      <c r="AE198" t="n">
        <v>5</v>
      </c>
      <c r="AF198" t="n">
        <v>32</v>
      </c>
      <c r="AG198" t="n">
        <v>32</v>
      </c>
      <c r="AH198" t="n">
        <v>10</v>
      </c>
      <c r="AI198" t="n">
        <v>10</v>
      </c>
      <c r="AJ198" t="n">
        <v>7</v>
      </c>
      <c r="AK198" t="n">
        <v>7</v>
      </c>
      <c r="AL198" t="n">
        <v>17</v>
      </c>
      <c r="AM198" t="n">
        <v>17</v>
      </c>
      <c r="AN198" t="n">
        <v>4</v>
      </c>
      <c r="AO198" t="n">
        <v>4</v>
      </c>
      <c r="AP198" t="n">
        <v>0</v>
      </c>
      <c r="AQ198" t="n">
        <v>0</v>
      </c>
      <c r="AR198" t="inlineStr">
        <is>
          <t>No</t>
        </is>
      </c>
      <c r="AS198" t="inlineStr">
        <is>
          <t>Yes</t>
        </is>
      </c>
      <c r="AT198">
        <f>HYPERLINK("http://catalog.hathitrust.org/Record/000009482","HathiTrust Record")</f>
        <v/>
      </c>
      <c r="AU198">
        <f>HYPERLINK("https://creighton-primo.hosted.exlibrisgroup.com/primo-explore/search?tab=default_tab&amp;search_scope=EVERYTHING&amp;vid=01CRU&amp;lang=en_US&amp;offset=0&amp;query=any,contains,991003129509702656","Catalog Record")</f>
        <v/>
      </c>
      <c r="AV198">
        <f>HYPERLINK("http://www.worldcat.org/oclc/672957","WorldCat Record")</f>
        <v/>
      </c>
      <c r="AW198" t="inlineStr">
        <is>
          <t>10678418808:eng</t>
        </is>
      </c>
      <c r="AX198" t="inlineStr">
        <is>
          <t>672957</t>
        </is>
      </c>
      <c r="AY198" t="inlineStr">
        <is>
          <t>991003129509702656</t>
        </is>
      </c>
      <c r="AZ198" t="inlineStr">
        <is>
          <t>991003129509702656</t>
        </is>
      </c>
      <c r="BA198" t="inlineStr">
        <is>
          <t>2267831150002656</t>
        </is>
      </c>
      <c r="BB198" t="inlineStr">
        <is>
          <t>BOOK</t>
        </is>
      </c>
      <c r="BD198" t="inlineStr">
        <is>
          <t>9780838612460</t>
        </is>
      </c>
      <c r="BE198" t="inlineStr">
        <is>
          <t>32285000603695</t>
        </is>
      </c>
      <c r="BF198" t="inlineStr">
        <is>
          <t>893610748</t>
        </is>
      </c>
    </row>
    <row r="199">
      <c r="A199" t="inlineStr">
        <is>
          <t>No</t>
        </is>
      </c>
      <c r="B199" t="inlineStr">
        <is>
          <t>CURAL</t>
        </is>
      </c>
      <c r="C199" t="inlineStr">
        <is>
          <t>SHELVES</t>
        </is>
      </c>
      <c r="D199" t="inlineStr">
        <is>
          <t>PQ2605.A3734 Z555 1972</t>
        </is>
      </c>
      <c r="E199" t="inlineStr">
        <is>
          <t>0                      PQ 2605000A  3734               Z  555         1972</t>
        </is>
      </c>
      <c r="F199" t="inlineStr">
        <is>
          <t>Camus.</t>
        </is>
      </c>
      <c r="H199" t="inlineStr">
        <is>
          <t>No</t>
        </is>
      </c>
      <c r="I199" t="inlineStr">
        <is>
          <t>1</t>
        </is>
      </c>
      <c r="J199" t="inlineStr">
        <is>
          <t>No</t>
        </is>
      </c>
      <c r="K199" t="inlineStr">
        <is>
          <t>No</t>
        </is>
      </c>
      <c r="L199" t="inlineStr">
        <is>
          <t>0</t>
        </is>
      </c>
      <c r="M199" t="inlineStr">
        <is>
          <t>Brée, Germaine.</t>
        </is>
      </c>
      <c r="N199" t="inlineStr">
        <is>
          <t>New Brunswick, N.J. : Rutgers University Press, [1972]</t>
        </is>
      </c>
      <c r="O199" t="inlineStr">
        <is>
          <t>1972</t>
        </is>
      </c>
      <c r="P199" t="inlineStr">
        <is>
          <t>Rev. ed.</t>
        </is>
      </c>
      <c r="Q199" t="inlineStr">
        <is>
          <t>eng</t>
        </is>
      </c>
      <c r="R199" t="inlineStr">
        <is>
          <t>nju</t>
        </is>
      </c>
      <c r="T199" t="inlineStr">
        <is>
          <t xml:space="preserve">PQ </t>
        </is>
      </c>
      <c r="U199" t="n">
        <v>6</v>
      </c>
      <c r="V199" t="n">
        <v>6</v>
      </c>
      <c r="W199" t="inlineStr">
        <is>
          <t>2001-02-07</t>
        </is>
      </c>
      <c r="X199" t="inlineStr">
        <is>
          <t>2001-02-07</t>
        </is>
      </c>
      <c r="Y199" t="inlineStr">
        <is>
          <t>1992-01-02</t>
        </is>
      </c>
      <c r="Z199" t="inlineStr">
        <is>
          <t>1992-01-02</t>
        </is>
      </c>
      <c r="AA199" t="n">
        <v>357</v>
      </c>
      <c r="AB199" t="n">
        <v>321</v>
      </c>
      <c r="AC199" t="n">
        <v>1343</v>
      </c>
      <c r="AD199" t="n">
        <v>3</v>
      </c>
      <c r="AE199" t="n">
        <v>10</v>
      </c>
      <c r="AF199" t="n">
        <v>15</v>
      </c>
      <c r="AG199" t="n">
        <v>50</v>
      </c>
      <c r="AH199" t="n">
        <v>7</v>
      </c>
      <c r="AI199" t="n">
        <v>22</v>
      </c>
      <c r="AJ199" t="n">
        <v>4</v>
      </c>
      <c r="AK199" t="n">
        <v>10</v>
      </c>
      <c r="AL199" t="n">
        <v>8</v>
      </c>
      <c r="AM199" t="n">
        <v>23</v>
      </c>
      <c r="AN199" t="n">
        <v>1</v>
      </c>
      <c r="AO199" t="n">
        <v>7</v>
      </c>
      <c r="AP199" t="n">
        <v>0</v>
      </c>
      <c r="AQ199" t="n">
        <v>0</v>
      </c>
      <c r="AR199" t="inlineStr">
        <is>
          <t>No</t>
        </is>
      </c>
      <c r="AS199" t="inlineStr">
        <is>
          <t>Yes</t>
        </is>
      </c>
      <c r="AT199">
        <f>HYPERLINK("http://catalog.hathitrust.org/Record/001205037","HathiTrust Record")</f>
        <v/>
      </c>
      <c r="AU199">
        <f>HYPERLINK("https://creighton-primo.hosted.exlibrisgroup.com/primo-explore/search?tab=default_tab&amp;search_scope=EVERYTHING&amp;vid=01CRU&amp;lang=en_US&amp;offset=0&amp;query=any,contains,991002207679702656","Catalog Record")</f>
        <v/>
      </c>
      <c r="AV199">
        <f>HYPERLINK("http://www.worldcat.org/oclc/286634","WorldCat Record")</f>
        <v/>
      </c>
      <c r="AW199" t="inlineStr">
        <is>
          <t>1455121:eng</t>
        </is>
      </c>
      <c r="AX199" t="inlineStr">
        <is>
          <t>286634</t>
        </is>
      </c>
      <c r="AY199" t="inlineStr">
        <is>
          <t>991002207679702656</t>
        </is>
      </c>
      <c r="AZ199" t="inlineStr">
        <is>
          <t>991002207679702656</t>
        </is>
      </c>
      <c r="BA199" t="inlineStr">
        <is>
          <t>2263050620002656</t>
        </is>
      </c>
      <c r="BB199" t="inlineStr">
        <is>
          <t>BOOK</t>
        </is>
      </c>
      <c r="BD199" t="inlineStr">
        <is>
          <t>9780813503592</t>
        </is>
      </c>
      <c r="BE199" t="inlineStr">
        <is>
          <t>32285000879865</t>
        </is>
      </c>
      <c r="BF199" t="inlineStr">
        <is>
          <t>893597147</t>
        </is>
      </c>
    </row>
    <row r="200">
      <c r="A200" t="inlineStr">
        <is>
          <t>No</t>
        </is>
      </c>
      <c r="B200" t="inlineStr">
        <is>
          <t>CURAL</t>
        </is>
      </c>
      <c r="C200" t="inlineStr">
        <is>
          <t>SHELVES</t>
        </is>
      </c>
      <c r="D200" t="inlineStr">
        <is>
          <t>PQ2605.A3734 Z62</t>
        </is>
      </c>
      <c r="E200" t="inlineStr">
        <is>
          <t>0                      PQ 2605000A  3734               Z  62</t>
        </is>
      </c>
      <c r="F200" t="inlineStr">
        <is>
          <t>Camus : a collection of critical essays.</t>
        </is>
      </c>
      <c r="H200" t="inlineStr">
        <is>
          <t>No</t>
        </is>
      </c>
      <c r="I200" t="inlineStr">
        <is>
          <t>1</t>
        </is>
      </c>
      <c r="J200" t="inlineStr">
        <is>
          <t>No</t>
        </is>
      </c>
      <c r="K200" t="inlineStr">
        <is>
          <t>No</t>
        </is>
      </c>
      <c r="L200" t="inlineStr">
        <is>
          <t>0</t>
        </is>
      </c>
      <c r="M200" t="inlineStr">
        <is>
          <t>Brée, Germaine editor.</t>
        </is>
      </c>
      <c r="N200" t="inlineStr">
        <is>
          <t>Englewood Cliffs, N.J. : Prentice-Hall, [1962]</t>
        </is>
      </c>
      <c r="O200" t="inlineStr">
        <is>
          <t>1962</t>
        </is>
      </c>
      <c r="Q200" t="inlineStr">
        <is>
          <t>eng</t>
        </is>
      </c>
      <c r="R200" t="inlineStr">
        <is>
          <t>nju</t>
        </is>
      </c>
      <c r="S200" t="inlineStr">
        <is>
          <t>A Spectrum book: Twentieth century views, S-TC-1</t>
        </is>
      </c>
      <c r="T200" t="inlineStr">
        <is>
          <t xml:space="preserve">PQ </t>
        </is>
      </c>
      <c r="U200" t="n">
        <v>4</v>
      </c>
      <c r="V200" t="n">
        <v>4</v>
      </c>
      <c r="W200" t="inlineStr">
        <is>
          <t>2000-12-06</t>
        </is>
      </c>
      <c r="X200" t="inlineStr">
        <is>
          <t>2000-12-06</t>
        </is>
      </c>
      <c r="Y200" t="inlineStr">
        <is>
          <t>1995-04-26</t>
        </is>
      </c>
      <c r="Z200" t="inlineStr">
        <is>
          <t>1995-04-26</t>
        </is>
      </c>
      <c r="AA200" t="n">
        <v>2127</v>
      </c>
      <c r="AB200" t="n">
        <v>1893</v>
      </c>
      <c r="AC200" t="n">
        <v>1903</v>
      </c>
      <c r="AD200" t="n">
        <v>14</v>
      </c>
      <c r="AE200" t="n">
        <v>14</v>
      </c>
      <c r="AF200" t="n">
        <v>52</v>
      </c>
      <c r="AG200" t="n">
        <v>52</v>
      </c>
      <c r="AH200" t="n">
        <v>23</v>
      </c>
      <c r="AI200" t="n">
        <v>23</v>
      </c>
      <c r="AJ200" t="n">
        <v>10</v>
      </c>
      <c r="AK200" t="n">
        <v>10</v>
      </c>
      <c r="AL200" t="n">
        <v>21</v>
      </c>
      <c r="AM200" t="n">
        <v>21</v>
      </c>
      <c r="AN200" t="n">
        <v>10</v>
      </c>
      <c r="AO200" t="n">
        <v>10</v>
      </c>
      <c r="AP200" t="n">
        <v>0</v>
      </c>
      <c r="AQ200" t="n">
        <v>0</v>
      </c>
      <c r="AR200" t="inlineStr">
        <is>
          <t>No</t>
        </is>
      </c>
      <c r="AS200" t="inlineStr">
        <is>
          <t>No</t>
        </is>
      </c>
      <c r="AT200">
        <f>HYPERLINK("http://catalog.hathitrust.org/Record/001015316","HathiTrust Record")</f>
        <v/>
      </c>
      <c r="AU200">
        <f>HYPERLINK("https://creighton-primo.hosted.exlibrisgroup.com/primo-explore/search?tab=default_tab&amp;search_scope=EVERYTHING&amp;vid=01CRU&amp;lang=en_US&amp;offset=0&amp;query=any,contains,991002418119702656","Catalog Record")</f>
        <v/>
      </c>
      <c r="AV200">
        <f>HYPERLINK("http://www.worldcat.org/oclc/342099","WorldCat Record")</f>
        <v/>
      </c>
      <c r="AW200" t="inlineStr">
        <is>
          <t>3901156799:eng</t>
        </is>
      </c>
      <c r="AX200" t="inlineStr">
        <is>
          <t>342099</t>
        </is>
      </c>
      <c r="AY200" t="inlineStr">
        <is>
          <t>991002418119702656</t>
        </is>
      </c>
      <c r="AZ200" t="inlineStr">
        <is>
          <t>991002418119702656</t>
        </is>
      </c>
      <c r="BA200" t="inlineStr">
        <is>
          <t>2266425200002656</t>
        </is>
      </c>
      <c r="BB200" t="inlineStr">
        <is>
          <t>BOOK</t>
        </is>
      </c>
      <c r="BE200" t="inlineStr">
        <is>
          <t>32285002029337</t>
        </is>
      </c>
      <c r="BF200" t="inlineStr">
        <is>
          <t>893627118</t>
        </is>
      </c>
    </row>
    <row r="201">
      <c r="A201" t="inlineStr">
        <is>
          <t>No</t>
        </is>
      </c>
      <c r="B201" t="inlineStr">
        <is>
          <t>CURAL</t>
        </is>
      </c>
      <c r="C201" t="inlineStr">
        <is>
          <t>SHELVES</t>
        </is>
      </c>
      <c r="D201" t="inlineStr">
        <is>
          <t>PQ2605.A3734 Z645</t>
        </is>
      </c>
      <c r="E201" t="inlineStr">
        <is>
          <t>0                      PQ 2605000A  3734               Z  645</t>
        </is>
      </c>
      <c r="F201" t="inlineStr">
        <is>
          <t>The theatre of Albert Camus : a critical study / [by] E. Freeman.</t>
        </is>
      </c>
      <c r="H201" t="inlineStr">
        <is>
          <t>No</t>
        </is>
      </c>
      <c r="I201" t="inlineStr">
        <is>
          <t>1</t>
        </is>
      </c>
      <c r="J201" t="inlineStr">
        <is>
          <t>No</t>
        </is>
      </c>
      <c r="K201" t="inlineStr">
        <is>
          <t>No</t>
        </is>
      </c>
      <c r="L201" t="inlineStr">
        <is>
          <t>0</t>
        </is>
      </c>
      <c r="M201" t="inlineStr">
        <is>
          <t>Freeman, E.</t>
        </is>
      </c>
      <c r="N201" t="inlineStr">
        <is>
          <t>London : Methuen, 1971.</t>
        </is>
      </c>
      <c r="O201" t="inlineStr">
        <is>
          <t>1971</t>
        </is>
      </c>
      <c r="Q201" t="inlineStr">
        <is>
          <t>eng</t>
        </is>
      </c>
      <c r="R201" t="inlineStr">
        <is>
          <t>enk</t>
        </is>
      </c>
      <c r="T201" t="inlineStr">
        <is>
          <t xml:space="preserve">PQ </t>
        </is>
      </c>
      <c r="U201" t="n">
        <v>4</v>
      </c>
      <c r="V201" t="n">
        <v>4</v>
      </c>
      <c r="W201" t="inlineStr">
        <is>
          <t>1995-04-13</t>
        </is>
      </c>
      <c r="X201" t="inlineStr">
        <is>
          <t>1995-04-13</t>
        </is>
      </c>
      <c r="Y201" t="inlineStr">
        <is>
          <t>1992-12-02</t>
        </is>
      </c>
      <c r="Z201" t="inlineStr">
        <is>
          <t>1992-12-02</t>
        </is>
      </c>
      <c r="AA201" t="n">
        <v>1079</v>
      </c>
      <c r="AB201" t="n">
        <v>875</v>
      </c>
      <c r="AC201" t="n">
        <v>961</v>
      </c>
      <c r="AD201" t="n">
        <v>6</v>
      </c>
      <c r="AE201" t="n">
        <v>6</v>
      </c>
      <c r="AF201" t="n">
        <v>29</v>
      </c>
      <c r="AG201" t="n">
        <v>31</v>
      </c>
      <c r="AH201" t="n">
        <v>10</v>
      </c>
      <c r="AI201" t="n">
        <v>12</v>
      </c>
      <c r="AJ201" t="n">
        <v>6</v>
      </c>
      <c r="AK201" t="n">
        <v>6</v>
      </c>
      <c r="AL201" t="n">
        <v>13</v>
      </c>
      <c r="AM201" t="n">
        <v>13</v>
      </c>
      <c r="AN201" t="n">
        <v>5</v>
      </c>
      <c r="AO201" t="n">
        <v>5</v>
      </c>
      <c r="AP201" t="n">
        <v>0</v>
      </c>
      <c r="AQ201" t="n">
        <v>0</v>
      </c>
      <c r="AR201" t="inlineStr">
        <is>
          <t>No</t>
        </is>
      </c>
      <c r="AS201" t="inlineStr">
        <is>
          <t>Yes</t>
        </is>
      </c>
      <c r="AT201">
        <f>HYPERLINK("http://catalog.hathitrust.org/Record/001015317","HathiTrust Record")</f>
        <v/>
      </c>
      <c r="AU201">
        <f>HYPERLINK("https://creighton-primo.hosted.exlibrisgroup.com/primo-explore/search?tab=default_tab&amp;search_scope=EVERYTHING&amp;vid=01CRU&amp;lang=en_US&amp;offset=0&amp;query=any,contains,991001099849702656","Catalog Record")</f>
        <v/>
      </c>
      <c r="AV201">
        <f>HYPERLINK("http://www.worldcat.org/oclc/183466","WorldCat Record")</f>
        <v/>
      </c>
      <c r="AW201" t="inlineStr">
        <is>
          <t>1329090:eng</t>
        </is>
      </c>
      <c r="AX201" t="inlineStr">
        <is>
          <t>183466</t>
        </is>
      </c>
      <c r="AY201" t="inlineStr">
        <is>
          <t>991001099849702656</t>
        </is>
      </c>
      <c r="AZ201" t="inlineStr">
        <is>
          <t>991001099849702656</t>
        </is>
      </c>
      <c r="BA201" t="inlineStr">
        <is>
          <t>2267561230002656</t>
        </is>
      </c>
      <c r="BB201" t="inlineStr">
        <is>
          <t>BOOK</t>
        </is>
      </c>
      <c r="BD201" t="inlineStr">
        <is>
          <t>9780416129403</t>
        </is>
      </c>
      <c r="BE201" t="inlineStr">
        <is>
          <t>32285001411635</t>
        </is>
      </c>
      <c r="BF201" t="inlineStr">
        <is>
          <t>893878619</t>
        </is>
      </c>
    </row>
    <row r="202">
      <c r="A202" t="inlineStr">
        <is>
          <t>No</t>
        </is>
      </c>
      <c r="B202" t="inlineStr">
        <is>
          <t>CURAL</t>
        </is>
      </c>
      <c r="C202" t="inlineStr">
        <is>
          <t>SHELVES</t>
        </is>
      </c>
      <c r="D202" t="inlineStr">
        <is>
          <t>PQ2605.A3734 Z67 1971</t>
        </is>
      </c>
      <c r="E202" t="inlineStr">
        <is>
          <t>0                      PQ 2605000A  3734               Z  67          1971</t>
        </is>
      </c>
      <c r="F202" t="inlineStr">
        <is>
          <t>Camus.</t>
        </is>
      </c>
      <c r="H202" t="inlineStr">
        <is>
          <t>No</t>
        </is>
      </c>
      <c r="I202" t="inlineStr">
        <is>
          <t>1</t>
        </is>
      </c>
      <c r="J202" t="inlineStr">
        <is>
          <t>No</t>
        </is>
      </c>
      <c r="K202" t="inlineStr">
        <is>
          <t>No</t>
        </is>
      </c>
      <c r="L202" t="inlineStr">
        <is>
          <t>0</t>
        </is>
      </c>
      <c r="M202" t="inlineStr">
        <is>
          <t>King, Adele.</t>
        </is>
      </c>
      <c r="N202" t="inlineStr">
        <is>
          <t>New York : Capricorn Books, [1971, c1964]</t>
        </is>
      </c>
      <c r="O202" t="inlineStr">
        <is>
          <t>1971</t>
        </is>
      </c>
      <c r="Q202" t="inlineStr">
        <is>
          <t>eng</t>
        </is>
      </c>
      <c r="R202" t="inlineStr">
        <is>
          <t>nyu</t>
        </is>
      </c>
      <c r="S202" t="inlineStr">
        <is>
          <t>A Capricorn book, CAP 165</t>
        </is>
      </c>
      <c r="T202" t="inlineStr">
        <is>
          <t xml:space="preserve">PQ </t>
        </is>
      </c>
      <c r="U202" t="n">
        <v>2</v>
      </c>
      <c r="V202" t="n">
        <v>2</v>
      </c>
      <c r="W202" t="inlineStr">
        <is>
          <t>2000-12-02</t>
        </is>
      </c>
      <c r="X202" t="inlineStr">
        <is>
          <t>2000-12-02</t>
        </is>
      </c>
      <c r="Y202" t="inlineStr">
        <is>
          <t>1992-05-04</t>
        </is>
      </c>
      <c r="Z202" t="inlineStr">
        <is>
          <t>1992-05-04</t>
        </is>
      </c>
      <c r="AA202" t="n">
        <v>253</v>
      </c>
      <c r="AB202" t="n">
        <v>233</v>
      </c>
      <c r="AC202" t="n">
        <v>504</v>
      </c>
      <c r="AD202" t="n">
        <v>2</v>
      </c>
      <c r="AE202" t="n">
        <v>4</v>
      </c>
      <c r="AF202" t="n">
        <v>7</v>
      </c>
      <c r="AG202" t="n">
        <v>13</v>
      </c>
      <c r="AH202" t="n">
        <v>3</v>
      </c>
      <c r="AI202" t="n">
        <v>5</v>
      </c>
      <c r="AJ202" t="n">
        <v>1</v>
      </c>
      <c r="AK202" t="n">
        <v>1</v>
      </c>
      <c r="AL202" t="n">
        <v>3</v>
      </c>
      <c r="AM202" t="n">
        <v>7</v>
      </c>
      <c r="AN202" t="n">
        <v>1</v>
      </c>
      <c r="AO202" t="n">
        <v>3</v>
      </c>
      <c r="AP202" t="n">
        <v>0</v>
      </c>
      <c r="AQ202" t="n">
        <v>0</v>
      </c>
      <c r="AR202" t="inlineStr">
        <is>
          <t>No</t>
        </is>
      </c>
      <c r="AS202" t="inlineStr">
        <is>
          <t>Yes</t>
        </is>
      </c>
      <c r="AT202">
        <f>HYPERLINK("http://catalog.hathitrust.org/Record/009917889","HathiTrust Record")</f>
        <v/>
      </c>
      <c r="AU202">
        <f>HYPERLINK("https://creighton-primo.hosted.exlibrisgroup.com/primo-explore/search?tab=default_tab&amp;search_scope=EVERYTHING&amp;vid=01CRU&amp;lang=en_US&amp;offset=0&amp;query=any,contains,991003169309702656","Catalog Record")</f>
        <v/>
      </c>
      <c r="AV202">
        <f>HYPERLINK("http://www.worldcat.org/oclc/706182","WorldCat Record")</f>
        <v/>
      </c>
      <c r="AW202" t="inlineStr">
        <is>
          <t>1484472:eng</t>
        </is>
      </c>
      <c r="AX202" t="inlineStr">
        <is>
          <t>706182</t>
        </is>
      </c>
      <c r="AY202" t="inlineStr">
        <is>
          <t>991003169309702656</t>
        </is>
      </c>
      <c r="AZ202" t="inlineStr">
        <is>
          <t>991003169309702656</t>
        </is>
      </c>
      <c r="BA202" t="inlineStr">
        <is>
          <t>2256402670002656</t>
        </is>
      </c>
      <c r="BB202" t="inlineStr">
        <is>
          <t>BOOK</t>
        </is>
      </c>
      <c r="BD202" t="inlineStr">
        <is>
          <t>9780050014233</t>
        </is>
      </c>
      <c r="BE202" t="inlineStr">
        <is>
          <t>32285001091452</t>
        </is>
      </c>
      <c r="BF202" t="inlineStr">
        <is>
          <t>893323833</t>
        </is>
      </c>
    </row>
    <row r="203">
      <c r="A203" t="inlineStr">
        <is>
          <t>No</t>
        </is>
      </c>
      <c r="B203" t="inlineStr">
        <is>
          <t>CURAL</t>
        </is>
      </c>
      <c r="C203" t="inlineStr">
        <is>
          <t>SHELVES</t>
        </is>
      </c>
      <c r="D203" t="inlineStr">
        <is>
          <t>PQ2605.A3734 Z698</t>
        </is>
      </c>
      <c r="E203" t="inlineStr">
        <is>
          <t>0                      PQ 2605000A  3734               Z  698</t>
        </is>
      </c>
      <c r="F203" t="inlineStr">
        <is>
          <t>Albert Camus : a biography / Herbert R. Lottman.</t>
        </is>
      </c>
      <c r="H203" t="inlineStr">
        <is>
          <t>No</t>
        </is>
      </c>
      <c r="I203" t="inlineStr">
        <is>
          <t>1</t>
        </is>
      </c>
      <c r="J203" t="inlineStr">
        <is>
          <t>No</t>
        </is>
      </c>
      <c r="K203" t="inlineStr">
        <is>
          <t>No</t>
        </is>
      </c>
      <c r="L203" t="inlineStr">
        <is>
          <t>0</t>
        </is>
      </c>
      <c r="M203" t="inlineStr">
        <is>
          <t>Lottman, Herbert R.</t>
        </is>
      </c>
      <c r="N203" t="inlineStr">
        <is>
          <t>Garden City, N.Y. : Doubleday, 1979.</t>
        </is>
      </c>
      <c r="O203" t="inlineStr">
        <is>
          <t>1979</t>
        </is>
      </c>
      <c r="P203" t="inlineStr">
        <is>
          <t>1st ed.</t>
        </is>
      </c>
      <c r="Q203" t="inlineStr">
        <is>
          <t>eng</t>
        </is>
      </c>
      <c r="R203" t="inlineStr">
        <is>
          <t>nyu</t>
        </is>
      </c>
      <c r="T203" t="inlineStr">
        <is>
          <t xml:space="preserve">PQ </t>
        </is>
      </c>
      <c r="U203" t="n">
        <v>6</v>
      </c>
      <c r="V203" t="n">
        <v>6</v>
      </c>
      <c r="W203" t="inlineStr">
        <is>
          <t>1995-04-13</t>
        </is>
      </c>
      <c r="X203" t="inlineStr">
        <is>
          <t>1995-04-13</t>
        </is>
      </c>
      <c r="Y203" t="inlineStr">
        <is>
          <t>1991-05-14</t>
        </is>
      </c>
      <c r="Z203" t="inlineStr">
        <is>
          <t>1991-05-14</t>
        </is>
      </c>
      <c r="AA203" t="n">
        <v>1556</v>
      </c>
      <c r="AB203" t="n">
        <v>1447</v>
      </c>
      <c r="AC203" t="n">
        <v>1695</v>
      </c>
      <c r="AD203" t="n">
        <v>13</v>
      </c>
      <c r="AE203" t="n">
        <v>13</v>
      </c>
      <c r="AF203" t="n">
        <v>47</v>
      </c>
      <c r="AG203" t="n">
        <v>51</v>
      </c>
      <c r="AH203" t="n">
        <v>17</v>
      </c>
      <c r="AI203" t="n">
        <v>18</v>
      </c>
      <c r="AJ203" t="n">
        <v>9</v>
      </c>
      <c r="AK203" t="n">
        <v>11</v>
      </c>
      <c r="AL203" t="n">
        <v>23</v>
      </c>
      <c r="AM203" t="n">
        <v>25</v>
      </c>
      <c r="AN203" t="n">
        <v>9</v>
      </c>
      <c r="AO203" t="n">
        <v>9</v>
      </c>
      <c r="AP203" t="n">
        <v>0</v>
      </c>
      <c r="AQ203" t="n">
        <v>0</v>
      </c>
      <c r="AR203" t="inlineStr">
        <is>
          <t>No</t>
        </is>
      </c>
      <c r="AS203" t="inlineStr">
        <is>
          <t>Yes</t>
        </is>
      </c>
      <c r="AT203">
        <f>HYPERLINK("http://catalog.hathitrust.org/Record/000256397","HathiTrust Record")</f>
        <v/>
      </c>
      <c r="AU203">
        <f>HYPERLINK("https://creighton-primo.hosted.exlibrisgroup.com/primo-explore/search?tab=default_tab&amp;search_scope=EVERYTHING&amp;vid=01CRU&amp;lang=en_US&amp;offset=0&amp;query=any,contains,991004658859702656","Catalog Record")</f>
        <v/>
      </c>
      <c r="AV203">
        <f>HYPERLINK("http://www.worldcat.org/oclc/4496148","WorldCat Record")</f>
        <v/>
      </c>
      <c r="AW203" t="inlineStr">
        <is>
          <t>3768592778:eng</t>
        </is>
      </c>
      <c r="AX203" t="inlineStr">
        <is>
          <t>4496148</t>
        </is>
      </c>
      <c r="AY203" t="inlineStr">
        <is>
          <t>991004658859702656</t>
        </is>
      </c>
      <c r="AZ203" t="inlineStr">
        <is>
          <t>991004658859702656</t>
        </is>
      </c>
      <c r="BA203" t="inlineStr">
        <is>
          <t>2268710500002656</t>
        </is>
      </c>
      <c r="BB203" t="inlineStr">
        <is>
          <t>BOOK</t>
        </is>
      </c>
      <c r="BD203" t="inlineStr">
        <is>
          <t>9780385116640</t>
        </is>
      </c>
      <c r="BE203" t="inlineStr">
        <is>
          <t>32285000603703</t>
        </is>
      </c>
      <c r="BF203" t="inlineStr">
        <is>
          <t>893325608</t>
        </is>
      </c>
    </row>
    <row r="204">
      <c r="A204" t="inlineStr">
        <is>
          <t>No</t>
        </is>
      </c>
      <c r="B204" t="inlineStr">
        <is>
          <t>CURAL</t>
        </is>
      </c>
      <c r="C204" t="inlineStr">
        <is>
          <t>SHELVES</t>
        </is>
      </c>
      <c r="D204" t="inlineStr">
        <is>
          <t>PQ2605.A3734 Z72 1972</t>
        </is>
      </c>
      <c r="E204" t="inlineStr">
        <is>
          <t>0                      PQ 2605000A  3734               Z  72          1972</t>
        </is>
      </c>
      <c r="F204" t="inlineStr">
        <is>
          <t>Albert Camus : the invincible summer / from the French "Albert Camus; ou, L'invincible été."</t>
        </is>
      </c>
      <c r="H204" t="inlineStr">
        <is>
          <t>No</t>
        </is>
      </c>
      <c r="I204" t="inlineStr">
        <is>
          <t>1</t>
        </is>
      </c>
      <c r="J204" t="inlineStr">
        <is>
          <t>No</t>
        </is>
      </c>
      <c r="K204" t="inlineStr">
        <is>
          <t>No</t>
        </is>
      </c>
      <c r="L204" t="inlineStr">
        <is>
          <t>0</t>
        </is>
      </c>
      <c r="M204" t="inlineStr">
        <is>
          <t>Maquet, Albert, 1922-</t>
        </is>
      </c>
      <c r="N204" t="inlineStr">
        <is>
          <t>New York : Humanities Press, 1972 [c1958]</t>
        </is>
      </c>
      <c r="O204" t="inlineStr">
        <is>
          <t>1972</t>
        </is>
      </c>
      <c r="Q204" t="inlineStr">
        <is>
          <t>eng</t>
        </is>
      </c>
      <c r="R204" t="inlineStr">
        <is>
          <t>nyu</t>
        </is>
      </c>
      <c r="T204" t="inlineStr">
        <is>
          <t xml:space="preserve">PQ </t>
        </is>
      </c>
      <c r="U204" t="n">
        <v>4</v>
      </c>
      <c r="V204" t="n">
        <v>4</v>
      </c>
      <c r="W204" t="inlineStr">
        <is>
          <t>2000-12-03</t>
        </is>
      </c>
      <c r="X204" t="inlineStr">
        <is>
          <t>2000-12-03</t>
        </is>
      </c>
      <c r="Y204" t="inlineStr">
        <is>
          <t>1992-05-01</t>
        </is>
      </c>
      <c r="Z204" t="inlineStr">
        <is>
          <t>1992-05-01</t>
        </is>
      </c>
      <c r="AA204" t="n">
        <v>206</v>
      </c>
      <c r="AB204" t="n">
        <v>191</v>
      </c>
      <c r="AC204" t="n">
        <v>1007</v>
      </c>
      <c r="AD204" t="n">
        <v>1</v>
      </c>
      <c r="AE204" t="n">
        <v>6</v>
      </c>
      <c r="AF204" t="n">
        <v>5</v>
      </c>
      <c r="AG204" t="n">
        <v>42</v>
      </c>
      <c r="AH204" t="n">
        <v>1</v>
      </c>
      <c r="AI204" t="n">
        <v>18</v>
      </c>
      <c r="AJ204" t="n">
        <v>2</v>
      </c>
      <c r="AK204" t="n">
        <v>10</v>
      </c>
      <c r="AL204" t="n">
        <v>3</v>
      </c>
      <c r="AM204" t="n">
        <v>22</v>
      </c>
      <c r="AN204" t="n">
        <v>0</v>
      </c>
      <c r="AO204" t="n">
        <v>4</v>
      </c>
      <c r="AP204" t="n">
        <v>0</v>
      </c>
      <c r="AQ204" t="n">
        <v>0</v>
      </c>
      <c r="AR204" t="inlineStr">
        <is>
          <t>No</t>
        </is>
      </c>
      <c r="AS204" t="inlineStr">
        <is>
          <t>Yes</t>
        </is>
      </c>
      <c r="AT204">
        <f>HYPERLINK("http://catalog.hathitrust.org/Record/007572987","HathiTrust Record")</f>
        <v/>
      </c>
      <c r="AU204">
        <f>HYPERLINK("https://creighton-primo.hosted.exlibrisgroup.com/primo-explore/search?tab=default_tab&amp;search_scope=EVERYTHING&amp;vid=01CRU&amp;lang=en_US&amp;offset=0&amp;query=any,contains,991002941539702656","Catalog Record")</f>
        <v/>
      </c>
      <c r="AV204">
        <f>HYPERLINK("http://www.worldcat.org/oclc/535294","WorldCat Record")</f>
        <v/>
      </c>
      <c r="AW204" t="inlineStr">
        <is>
          <t>5613342136:eng</t>
        </is>
      </c>
      <c r="AX204" t="inlineStr">
        <is>
          <t>535294</t>
        </is>
      </c>
      <c r="AY204" t="inlineStr">
        <is>
          <t>991002941539702656</t>
        </is>
      </c>
      <c r="AZ204" t="inlineStr">
        <is>
          <t>991002941539702656</t>
        </is>
      </c>
      <c r="BA204" t="inlineStr">
        <is>
          <t>2263456190002656</t>
        </is>
      </c>
      <c r="BB204" t="inlineStr">
        <is>
          <t>BOOK</t>
        </is>
      </c>
      <c r="BD204" t="inlineStr">
        <is>
          <t>9780391002692</t>
        </is>
      </c>
      <c r="BE204" t="inlineStr">
        <is>
          <t>32285001090405</t>
        </is>
      </c>
      <c r="BF204" t="inlineStr">
        <is>
          <t>893415825</t>
        </is>
      </c>
    </row>
    <row r="205">
      <c r="A205" t="inlineStr">
        <is>
          <t>No</t>
        </is>
      </c>
      <c r="B205" t="inlineStr">
        <is>
          <t>CURAL</t>
        </is>
      </c>
      <c r="C205" t="inlineStr">
        <is>
          <t>SHELVES</t>
        </is>
      </c>
      <c r="D205" t="inlineStr">
        <is>
          <t>PQ2605.A3734 Z72135 1982</t>
        </is>
      </c>
      <c r="E205" t="inlineStr">
        <is>
          <t>0                      PQ 2605000A  3734               Z  72135       1982</t>
        </is>
      </c>
      <c r="F205" t="inlineStr">
        <is>
          <t>Camus / Patrick McCarthy.</t>
        </is>
      </c>
      <c r="H205" t="inlineStr">
        <is>
          <t>No</t>
        </is>
      </c>
      <c r="I205" t="inlineStr">
        <is>
          <t>1</t>
        </is>
      </c>
      <c r="J205" t="inlineStr">
        <is>
          <t>No</t>
        </is>
      </c>
      <c r="K205" t="inlineStr">
        <is>
          <t>No</t>
        </is>
      </c>
      <c r="L205" t="inlineStr">
        <is>
          <t>0</t>
        </is>
      </c>
      <c r="M205" t="inlineStr">
        <is>
          <t>McCarthy, Patrick, 1941-2007.</t>
        </is>
      </c>
      <c r="N205" t="inlineStr">
        <is>
          <t>New York : Random House, c1982.</t>
        </is>
      </c>
      <c r="O205" t="inlineStr">
        <is>
          <t>1982</t>
        </is>
      </c>
      <c r="Q205" t="inlineStr">
        <is>
          <t>eng</t>
        </is>
      </c>
      <c r="R205" t="inlineStr">
        <is>
          <t>nyu</t>
        </is>
      </c>
      <c r="T205" t="inlineStr">
        <is>
          <t xml:space="preserve">PQ </t>
        </is>
      </c>
      <c r="U205" t="n">
        <v>5</v>
      </c>
      <c r="V205" t="n">
        <v>5</v>
      </c>
      <c r="W205" t="inlineStr">
        <is>
          <t>2003-11-13</t>
        </is>
      </c>
      <c r="X205" t="inlineStr">
        <is>
          <t>2003-11-13</t>
        </is>
      </c>
      <c r="Y205" t="inlineStr">
        <is>
          <t>1991-05-14</t>
        </is>
      </c>
      <c r="Z205" t="inlineStr">
        <is>
          <t>1991-05-14</t>
        </is>
      </c>
      <c r="AA205" t="n">
        <v>937</v>
      </c>
      <c r="AB205" t="n">
        <v>882</v>
      </c>
      <c r="AC205" t="n">
        <v>923</v>
      </c>
      <c r="AD205" t="n">
        <v>6</v>
      </c>
      <c r="AE205" t="n">
        <v>6</v>
      </c>
      <c r="AF205" t="n">
        <v>29</v>
      </c>
      <c r="AG205" t="n">
        <v>31</v>
      </c>
      <c r="AH205" t="n">
        <v>12</v>
      </c>
      <c r="AI205" t="n">
        <v>13</v>
      </c>
      <c r="AJ205" t="n">
        <v>8</v>
      </c>
      <c r="AK205" t="n">
        <v>8</v>
      </c>
      <c r="AL205" t="n">
        <v>10</v>
      </c>
      <c r="AM205" t="n">
        <v>12</v>
      </c>
      <c r="AN205" t="n">
        <v>4</v>
      </c>
      <c r="AO205" t="n">
        <v>4</v>
      </c>
      <c r="AP205" t="n">
        <v>0</v>
      </c>
      <c r="AQ205" t="n">
        <v>0</v>
      </c>
      <c r="AR205" t="inlineStr">
        <is>
          <t>No</t>
        </is>
      </c>
      <c r="AS205" t="inlineStr">
        <is>
          <t>No</t>
        </is>
      </c>
      <c r="AU205">
        <f>HYPERLINK("https://creighton-primo.hosted.exlibrisgroup.com/primo-explore/search?tab=default_tab&amp;search_scope=EVERYTHING&amp;vid=01CRU&amp;lang=en_US&amp;offset=0&amp;query=any,contains,991005211019702656","Catalog Record")</f>
        <v/>
      </c>
      <c r="AV205">
        <f>HYPERLINK("http://www.worldcat.org/oclc/8168979","WorldCat Record")</f>
        <v/>
      </c>
      <c r="AW205" t="inlineStr">
        <is>
          <t>3855267890:eng</t>
        </is>
      </c>
      <c r="AX205" t="inlineStr">
        <is>
          <t>8168979</t>
        </is>
      </c>
      <c r="AY205" t="inlineStr">
        <is>
          <t>991005211019702656</t>
        </is>
      </c>
      <c r="AZ205" t="inlineStr">
        <is>
          <t>991005211019702656</t>
        </is>
      </c>
      <c r="BA205" t="inlineStr">
        <is>
          <t>2271868640002656</t>
        </is>
      </c>
      <c r="BB205" t="inlineStr">
        <is>
          <t>BOOK</t>
        </is>
      </c>
      <c r="BD205" t="inlineStr">
        <is>
          <t>9780394524597</t>
        </is>
      </c>
      <c r="BE205" t="inlineStr">
        <is>
          <t>32285000603711</t>
        </is>
      </c>
      <c r="BF205" t="inlineStr">
        <is>
          <t>893350918</t>
        </is>
      </c>
    </row>
    <row r="206">
      <c r="A206" t="inlineStr">
        <is>
          <t>No</t>
        </is>
      </c>
      <c r="B206" t="inlineStr">
        <is>
          <t>CURAL</t>
        </is>
      </c>
      <c r="C206" t="inlineStr">
        <is>
          <t>SHELVES</t>
        </is>
      </c>
      <c r="D206" t="inlineStr">
        <is>
          <t>PQ2605.A3734 Z725</t>
        </is>
      </c>
      <c r="E206" t="inlineStr">
        <is>
          <t>0                      PQ 2605000A  3734               Z  725</t>
        </is>
      </c>
      <c r="F206" t="inlineStr">
        <is>
          <t>Albert Camus : the artist in the arena.</t>
        </is>
      </c>
      <c r="H206" t="inlineStr">
        <is>
          <t>No</t>
        </is>
      </c>
      <c r="I206" t="inlineStr">
        <is>
          <t>1</t>
        </is>
      </c>
      <c r="J206" t="inlineStr">
        <is>
          <t>No</t>
        </is>
      </c>
      <c r="K206" t="inlineStr">
        <is>
          <t>No</t>
        </is>
      </c>
      <c r="L206" t="inlineStr">
        <is>
          <t>0</t>
        </is>
      </c>
      <c r="M206" t="inlineStr">
        <is>
          <t>Parker, Emmett.</t>
        </is>
      </c>
      <c r="N206" t="inlineStr">
        <is>
          <t>[Madison] : University of Wisconsin Press, 1965.</t>
        </is>
      </c>
      <c r="O206" t="inlineStr">
        <is>
          <t>1965</t>
        </is>
      </c>
      <c r="Q206" t="inlineStr">
        <is>
          <t>eng</t>
        </is>
      </c>
      <c r="R206" t="inlineStr">
        <is>
          <t>wiu</t>
        </is>
      </c>
      <c r="T206" t="inlineStr">
        <is>
          <t xml:space="preserve">PQ </t>
        </is>
      </c>
      <c r="U206" t="n">
        <v>1</v>
      </c>
      <c r="V206" t="n">
        <v>1</v>
      </c>
      <c r="W206" t="inlineStr">
        <is>
          <t>1995-04-17</t>
        </is>
      </c>
      <c r="X206" t="inlineStr">
        <is>
          <t>1995-04-17</t>
        </is>
      </c>
      <c r="Y206" t="inlineStr">
        <is>
          <t>1992-05-01</t>
        </is>
      </c>
      <c r="Z206" t="inlineStr">
        <is>
          <t>1992-05-01</t>
        </is>
      </c>
      <c r="AA206" t="n">
        <v>1003</v>
      </c>
      <c r="AB206" t="n">
        <v>911</v>
      </c>
      <c r="AC206" t="n">
        <v>1076</v>
      </c>
      <c r="AD206" t="n">
        <v>5</v>
      </c>
      <c r="AE206" t="n">
        <v>7</v>
      </c>
      <c r="AF206" t="n">
        <v>36</v>
      </c>
      <c r="AG206" t="n">
        <v>43</v>
      </c>
      <c r="AH206" t="n">
        <v>15</v>
      </c>
      <c r="AI206" t="n">
        <v>18</v>
      </c>
      <c r="AJ206" t="n">
        <v>8</v>
      </c>
      <c r="AK206" t="n">
        <v>10</v>
      </c>
      <c r="AL206" t="n">
        <v>19</v>
      </c>
      <c r="AM206" t="n">
        <v>21</v>
      </c>
      <c r="AN206" t="n">
        <v>3</v>
      </c>
      <c r="AO206" t="n">
        <v>5</v>
      </c>
      <c r="AP206" t="n">
        <v>0</v>
      </c>
      <c r="AQ206" t="n">
        <v>0</v>
      </c>
      <c r="AR206" t="inlineStr">
        <is>
          <t>No</t>
        </is>
      </c>
      <c r="AS206" t="inlineStr">
        <is>
          <t>No</t>
        </is>
      </c>
      <c r="AU206">
        <f>HYPERLINK("https://creighton-primo.hosted.exlibrisgroup.com/primo-explore/search?tab=default_tab&amp;search_scope=EVERYTHING&amp;vid=01CRU&amp;lang=en_US&amp;offset=0&amp;query=any,contains,991002420889702656","Catalog Record")</f>
        <v/>
      </c>
      <c r="AV206">
        <f>HYPERLINK("http://www.worldcat.org/oclc/342770","WorldCat Record")</f>
        <v/>
      </c>
      <c r="AW206" t="inlineStr">
        <is>
          <t>571826:eng</t>
        </is>
      </c>
      <c r="AX206" t="inlineStr">
        <is>
          <t>342770</t>
        </is>
      </c>
      <c r="AY206" t="inlineStr">
        <is>
          <t>991002420889702656</t>
        </is>
      </c>
      <c r="AZ206" t="inlineStr">
        <is>
          <t>991002420889702656</t>
        </is>
      </c>
      <c r="BA206" t="inlineStr">
        <is>
          <t>2266270690002656</t>
        </is>
      </c>
      <c r="BB206" t="inlineStr">
        <is>
          <t>BOOK</t>
        </is>
      </c>
      <c r="BE206" t="inlineStr">
        <is>
          <t>32285001090397</t>
        </is>
      </c>
      <c r="BF206" t="inlineStr">
        <is>
          <t>893710270</t>
        </is>
      </c>
    </row>
    <row r="207">
      <c r="A207" t="inlineStr">
        <is>
          <t>No</t>
        </is>
      </c>
      <c r="B207" t="inlineStr">
        <is>
          <t>CURAL</t>
        </is>
      </c>
      <c r="C207" t="inlineStr">
        <is>
          <t>SHELVES</t>
        </is>
      </c>
      <c r="D207" t="inlineStr">
        <is>
          <t>PQ2605.A3734 Z7273</t>
        </is>
      </c>
      <c r="E207" t="inlineStr">
        <is>
          <t>0                      PQ 2605000A  3734               Z  7273</t>
        </is>
      </c>
      <c r="F207" t="inlineStr">
        <is>
          <t>Albert Camus / translated by Alexander Gode.</t>
        </is>
      </c>
      <c r="H207" t="inlineStr">
        <is>
          <t>No</t>
        </is>
      </c>
      <c r="I207" t="inlineStr">
        <is>
          <t>1</t>
        </is>
      </c>
      <c r="J207" t="inlineStr">
        <is>
          <t>No</t>
        </is>
      </c>
      <c r="K207" t="inlineStr">
        <is>
          <t>No</t>
        </is>
      </c>
      <c r="L207" t="inlineStr">
        <is>
          <t>0</t>
        </is>
      </c>
      <c r="M207" t="inlineStr">
        <is>
          <t>Petersen, Carol.</t>
        </is>
      </c>
      <c r="N207" t="inlineStr">
        <is>
          <t>New York : F. Ungar Pub. Co., c1969, 1971 printing.</t>
        </is>
      </c>
      <c r="O207" t="inlineStr">
        <is>
          <t>1969</t>
        </is>
      </c>
      <c r="Q207" t="inlineStr">
        <is>
          <t>eng</t>
        </is>
      </c>
      <c r="R207" t="inlineStr">
        <is>
          <t>nyu</t>
        </is>
      </c>
      <c r="S207" t="inlineStr">
        <is>
          <t>Modern literature monographs</t>
        </is>
      </c>
      <c r="T207" t="inlineStr">
        <is>
          <t xml:space="preserve">PQ </t>
        </is>
      </c>
      <c r="U207" t="n">
        <v>1</v>
      </c>
      <c r="V207" t="n">
        <v>1</v>
      </c>
      <c r="W207" t="inlineStr">
        <is>
          <t>2000-12-06</t>
        </is>
      </c>
      <c r="X207" t="inlineStr">
        <is>
          <t>2000-12-06</t>
        </is>
      </c>
      <c r="Y207" t="inlineStr">
        <is>
          <t>1995-04-18</t>
        </is>
      </c>
      <c r="Z207" t="inlineStr">
        <is>
          <t>1995-04-18</t>
        </is>
      </c>
      <c r="AA207" t="n">
        <v>902</v>
      </c>
      <c r="AB207" t="n">
        <v>840</v>
      </c>
      <c r="AC207" t="n">
        <v>879</v>
      </c>
      <c r="AD207" t="n">
        <v>3</v>
      </c>
      <c r="AE207" t="n">
        <v>3</v>
      </c>
      <c r="AF207" t="n">
        <v>24</v>
      </c>
      <c r="AG207" t="n">
        <v>24</v>
      </c>
      <c r="AH207" t="n">
        <v>9</v>
      </c>
      <c r="AI207" t="n">
        <v>9</v>
      </c>
      <c r="AJ207" t="n">
        <v>7</v>
      </c>
      <c r="AK207" t="n">
        <v>7</v>
      </c>
      <c r="AL207" t="n">
        <v>12</v>
      </c>
      <c r="AM207" t="n">
        <v>12</v>
      </c>
      <c r="AN207" t="n">
        <v>2</v>
      </c>
      <c r="AO207" t="n">
        <v>2</v>
      </c>
      <c r="AP207" t="n">
        <v>0</v>
      </c>
      <c r="AQ207" t="n">
        <v>0</v>
      </c>
      <c r="AR207" t="inlineStr">
        <is>
          <t>No</t>
        </is>
      </c>
      <c r="AS207" t="inlineStr">
        <is>
          <t>Yes</t>
        </is>
      </c>
      <c r="AT207">
        <f>HYPERLINK("http://catalog.hathitrust.org/Record/001205062","HathiTrust Record")</f>
        <v/>
      </c>
      <c r="AU207">
        <f>HYPERLINK("https://creighton-primo.hosted.exlibrisgroup.com/primo-explore/search?tab=default_tab&amp;search_scope=EVERYTHING&amp;vid=01CRU&amp;lang=en_US&amp;offset=0&amp;query=any,contains,991000040749702656","Catalog Record")</f>
        <v/>
      </c>
      <c r="AV207">
        <f>HYPERLINK("http://www.worldcat.org/oclc/21735","WorldCat Record")</f>
        <v/>
      </c>
      <c r="AW207" t="inlineStr">
        <is>
          <t>457922:eng</t>
        </is>
      </c>
      <c r="AX207" t="inlineStr">
        <is>
          <t>21735</t>
        </is>
      </c>
      <c r="AY207" t="inlineStr">
        <is>
          <t>991000040749702656</t>
        </is>
      </c>
      <c r="AZ207" t="inlineStr">
        <is>
          <t>991000040749702656</t>
        </is>
      </c>
      <c r="BA207" t="inlineStr">
        <is>
          <t>2261368090002656</t>
        </is>
      </c>
      <c r="BB207" t="inlineStr">
        <is>
          <t>BOOK</t>
        </is>
      </c>
      <c r="BD207" t="inlineStr">
        <is>
          <t>9780804426916</t>
        </is>
      </c>
      <c r="BE207" t="inlineStr">
        <is>
          <t>32285002027604</t>
        </is>
      </c>
      <c r="BF207" t="inlineStr">
        <is>
          <t>893419141</t>
        </is>
      </c>
    </row>
    <row r="208">
      <c r="A208" t="inlineStr">
        <is>
          <t>No</t>
        </is>
      </c>
      <c r="B208" t="inlineStr">
        <is>
          <t>CURAL</t>
        </is>
      </c>
      <c r="C208" t="inlineStr">
        <is>
          <t>SHELVES</t>
        </is>
      </c>
      <c r="D208" t="inlineStr">
        <is>
          <t>PQ2605.A3734 Z735 1963</t>
        </is>
      </c>
      <c r="E208" t="inlineStr">
        <is>
          <t>0                      PQ 2605000A  3734               Z  735         1963</t>
        </is>
      </c>
      <c r="F208" t="inlineStr">
        <is>
          <t>Albert Camus.</t>
        </is>
      </c>
      <c r="H208" t="inlineStr">
        <is>
          <t>No</t>
        </is>
      </c>
      <c r="I208" t="inlineStr">
        <is>
          <t>1</t>
        </is>
      </c>
      <c r="J208" t="inlineStr">
        <is>
          <t>No</t>
        </is>
      </c>
      <c r="K208" t="inlineStr">
        <is>
          <t>No</t>
        </is>
      </c>
      <c r="L208" t="inlineStr">
        <is>
          <t>0</t>
        </is>
      </c>
      <c r="M208" t="inlineStr">
        <is>
          <t>Scott, Nathan A.</t>
        </is>
      </c>
      <c r="N208" t="inlineStr">
        <is>
          <t>New York, Hillary House Publishers, 1962 [i.e. 1963]</t>
        </is>
      </c>
      <c r="O208" t="inlineStr">
        <is>
          <t>1963</t>
        </is>
      </c>
      <c r="Q208" t="inlineStr">
        <is>
          <t>eng</t>
        </is>
      </c>
      <c r="R208" t="inlineStr">
        <is>
          <t>nyu</t>
        </is>
      </c>
      <c r="S208" t="inlineStr">
        <is>
          <t>Studies in modern European literature and thought</t>
        </is>
      </c>
      <c r="T208" t="inlineStr">
        <is>
          <t xml:space="preserve">PQ </t>
        </is>
      </c>
      <c r="U208" t="n">
        <v>6</v>
      </c>
      <c r="V208" t="n">
        <v>6</v>
      </c>
      <c r="W208" t="inlineStr">
        <is>
          <t>2001-02-07</t>
        </is>
      </c>
      <c r="X208" t="inlineStr">
        <is>
          <t>2001-02-07</t>
        </is>
      </c>
      <c r="Y208" t="inlineStr">
        <is>
          <t>1997-12-17</t>
        </is>
      </c>
      <c r="Z208" t="inlineStr">
        <is>
          <t>1997-12-17</t>
        </is>
      </c>
      <c r="AA208" t="n">
        <v>224</v>
      </c>
      <c r="AB208" t="n">
        <v>217</v>
      </c>
      <c r="AC208" t="n">
        <v>544</v>
      </c>
      <c r="AD208" t="n">
        <v>2</v>
      </c>
      <c r="AE208" t="n">
        <v>2</v>
      </c>
      <c r="AF208" t="n">
        <v>8</v>
      </c>
      <c r="AG208" t="n">
        <v>24</v>
      </c>
      <c r="AH208" t="n">
        <v>1</v>
      </c>
      <c r="AI208" t="n">
        <v>11</v>
      </c>
      <c r="AJ208" t="n">
        <v>1</v>
      </c>
      <c r="AK208" t="n">
        <v>4</v>
      </c>
      <c r="AL208" t="n">
        <v>6</v>
      </c>
      <c r="AM208" t="n">
        <v>15</v>
      </c>
      <c r="AN208" t="n">
        <v>1</v>
      </c>
      <c r="AO208" t="n">
        <v>1</v>
      </c>
      <c r="AP208" t="n">
        <v>0</v>
      </c>
      <c r="AQ208" t="n">
        <v>0</v>
      </c>
      <c r="AR208" t="inlineStr">
        <is>
          <t>No</t>
        </is>
      </c>
      <c r="AS208" t="inlineStr">
        <is>
          <t>No</t>
        </is>
      </c>
      <c r="AT208">
        <f>HYPERLINK("http://catalog.hathitrust.org/Record/102033865","HathiTrust Record")</f>
        <v/>
      </c>
      <c r="AU208">
        <f>HYPERLINK("https://creighton-primo.hosted.exlibrisgroup.com/primo-explore/search?tab=default_tab&amp;search_scope=EVERYTHING&amp;vid=01CRU&amp;lang=en_US&amp;offset=0&amp;query=any,contains,991004154979702656","Catalog Record")</f>
        <v/>
      </c>
      <c r="AV208">
        <f>HYPERLINK("http://www.worldcat.org/oclc/2538156","WorldCat Record")</f>
        <v/>
      </c>
      <c r="AW208" t="inlineStr">
        <is>
          <t>1184708:eng</t>
        </is>
      </c>
      <c r="AX208" t="inlineStr">
        <is>
          <t>2538156</t>
        </is>
      </c>
      <c r="AY208" t="inlineStr">
        <is>
          <t>991004154979702656</t>
        </is>
      </c>
      <c r="AZ208" t="inlineStr">
        <is>
          <t>991004154979702656</t>
        </is>
      </c>
      <c r="BA208" t="inlineStr">
        <is>
          <t>2269462850002656</t>
        </is>
      </c>
      <c r="BB208" t="inlineStr">
        <is>
          <t>BOOK</t>
        </is>
      </c>
      <c r="BE208" t="inlineStr">
        <is>
          <t>32285003292462</t>
        </is>
      </c>
      <c r="BF208" t="inlineStr">
        <is>
          <t>893247221</t>
        </is>
      </c>
    </row>
    <row r="209">
      <c r="A209" t="inlineStr">
        <is>
          <t>No</t>
        </is>
      </c>
      <c r="B209" t="inlineStr">
        <is>
          <t>CURAL</t>
        </is>
      </c>
      <c r="C209" t="inlineStr">
        <is>
          <t>SHELVES</t>
        </is>
      </c>
      <c r="D209" t="inlineStr">
        <is>
          <t>PQ2605.A3734 Z92 2000</t>
        </is>
      </c>
      <c r="E209" t="inlineStr">
        <is>
          <t>0                      PQ 2605000A  3734               Z  92          2000</t>
        </is>
      </c>
      <c r="F209" t="inlineStr">
        <is>
          <t>Colonial and anti-colonial discourses : Albert Camus and Algeria, an intertextual dialoque with Mouloud Mammeri, Mouloud Feraoun, and Mohhammed Dib / Ena C. Vulor.</t>
        </is>
      </c>
      <c r="H209" t="inlineStr">
        <is>
          <t>No</t>
        </is>
      </c>
      <c r="I209" t="inlineStr">
        <is>
          <t>1</t>
        </is>
      </c>
      <c r="J209" t="inlineStr">
        <is>
          <t>No</t>
        </is>
      </c>
      <c r="K209" t="inlineStr">
        <is>
          <t>No</t>
        </is>
      </c>
      <c r="L209" t="inlineStr">
        <is>
          <t>0</t>
        </is>
      </c>
      <c r="M209" t="inlineStr">
        <is>
          <t>Vulor, Ena C.</t>
        </is>
      </c>
      <c r="N209" t="inlineStr">
        <is>
          <t>Lanham : University Press of America, 2000.</t>
        </is>
      </c>
      <c r="O209" t="inlineStr">
        <is>
          <t>2000</t>
        </is>
      </c>
      <c r="Q209" t="inlineStr">
        <is>
          <t>eng</t>
        </is>
      </c>
      <c r="R209" t="inlineStr">
        <is>
          <t>mdu</t>
        </is>
      </c>
      <c r="T209" t="inlineStr">
        <is>
          <t xml:space="preserve">PQ </t>
        </is>
      </c>
      <c r="U209" t="n">
        <v>1</v>
      </c>
      <c r="V209" t="n">
        <v>1</v>
      </c>
      <c r="W209" t="inlineStr">
        <is>
          <t>2004-09-08</t>
        </is>
      </c>
      <c r="X209" t="inlineStr">
        <is>
          <t>2004-09-08</t>
        </is>
      </c>
      <c r="Y209" t="inlineStr">
        <is>
          <t>2004-09-08</t>
        </is>
      </c>
      <c r="Z209" t="inlineStr">
        <is>
          <t>2004-09-08</t>
        </is>
      </c>
      <c r="AA209" t="n">
        <v>190</v>
      </c>
      <c r="AB209" t="n">
        <v>159</v>
      </c>
      <c r="AC209" t="n">
        <v>164</v>
      </c>
      <c r="AD209" t="n">
        <v>3</v>
      </c>
      <c r="AE209" t="n">
        <v>3</v>
      </c>
      <c r="AF209" t="n">
        <v>11</v>
      </c>
      <c r="AG209" t="n">
        <v>11</v>
      </c>
      <c r="AH209" t="n">
        <v>2</v>
      </c>
      <c r="AI209" t="n">
        <v>2</v>
      </c>
      <c r="AJ209" t="n">
        <v>4</v>
      </c>
      <c r="AK209" t="n">
        <v>4</v>
      </c>
      <c r="AL209" t="n">
        <v>6</v>
      </c>
      <c r="AM209" t="n">
        <v>6</v>
      </c>
      <c r="AN209" t="n">
        <v>2</v>
      </c>
      <c r="AO209" t="n">
        <v>2</v>
      </c>
      <c r="AP209" t="n">
        <v>0</v>
      </c>
      <c r="AQ209" t="n">
        <v>0</v>
      </c>
      <c r="AR209" t="inlineStr">
        <is>
          <t>No</t>
        </is>
      </c>
      <c r="AS209" t="inlineStr">
        <is>
          <t>Yes</t>
        </is>
      </c>
      <c r="AT209">
        <f>HYPERLINK("http://catalog.hathitrust.org/Record/004140164","HathiTrust Record")</f>
        <v/>
      </c>
      <c r="AU209">
        <f>HYPERLINK("https://creighton-primo.hosted.exlibrisgroup.com/primo-explore/search?tab=default_tab&amp;search_scope=EVERYTHING&amp;vid=01CRU&amp;lang=en_US&amp;offset=0&amp;query=any,contains,991004342379702656","Catalog Record")</f>
        <v/>
      </c>
      <c r="AV209">
        <f>HYPERLINK("http://www.worldcat.org/oclc/44681860","WorldCat Record")</f>
        <v/>
      </c>
      <c r="AW209" t="inlineStr">
        <is>
          <t>34434122:eng</t>
        </is>
      </c>
      <c r="AX209" t="inlineStr">
        <is>
          <t>44681860</t>
        </is>
      </c>
      <c r="AY209" t="inlineStr">
        <is>
          <t>991004342379702656</t>
        </is>
      </c>
      <c r="AZ209" t="inlineStr">
        <is>
          <t>991004342379702656</t>
        </is>
      </c>
      <c r="BA209" t="inlineStr">
        <is>
          <t>2259092260002656</t>
        </is>
      </c>
      <c r="BB209" t="inlineStr">
        <is>
          <t>BOOK</t>
        </is>
      </c>
      <c r="BD209" t="inlineStr">
        <is>
          <t>9780761818168</t>
        </is>
      </c>
      <c r="BE209" t="inlineStr">
        <is>
          <t>32285004985635</t>
        </is>
      </c>
      <c r="BF209" t="inlineStr">
        <is>
          <t>893349904</t>
        </is>
      </c>
    </row>
    <row r="210">
      <c r="A210" t="inlineStr">
        <is>
          <t>No</t>
        </is>
      </c>
      <c r="B210" t="inlineStr">
        <is>
          <t>CURAL</t>
        </is>
      </c>
      <c r="C210" t="inlineStr">
        <is>
          <t>SHELVES</t>
        </is>
      </c>
      <c r="D210" t="inlineStr">
        <is>
          <t>PQ2605.O15 Z689</t>
        </is>
      </c>
      <c r="E210" t="inlineStr">
        <is>
          <t>0                      PQ 2605000O  15                 Z  689</t>
        </is>
      </c>
      <c r="F210" t="inlineStr">
        <is>
          <t>Jean Cocteau.</t>
        </is>
      </c>
      <c r="H210" t="inlineStr">
        <is>
          <t>No</t>
        </is>
      </c>
      <c r="I210" t="inlineStr">
        <is>
          <t>1</t>
        </is>
      </c>
      <c r="J210" t="inlineStr">
        <is>
          <t>No</t>
        </is>
      </c>
      <c r="K210" t="inlineStr">
        <is>
          <t>No</t>
        </is>
      </c>
      <c r="L210" t="inlineStr">
        <is>
          <t>0</t>
        </is>
      </c>
      <c r="M210" t="inlineStr">
        <is>
          <t>Knapp, Bettina Liebowitz, 1926-2010.</t>
        </is>
      </c>
      <c r="N210" t="inlineStr">
        <is>
          <t>New York, Twayne Publishers [1970]</t>
        </is>
      </c>
      <c r="O210" t="inlineStr">
        <is>
          <t>1970</t>
        </is>
      </c>
      <c r="Q210" t="inlineStr">
        <is>
          <t>eng</t>
        </is>
      </c>
      <c r="R210" t="inlineStr">
        <is>
          <t>nyu</t>
        </is>
      </c>
      <c r="S210" t="inlineStr">
        <is>
          <t>Twayne's world authors series. TWAS 84. France</t>
        </is>
      </c>
      <c r="T210" t="inlineStr">
        <is>
          <t xml:space="preserve">PQ </t>
        </is>
      </c>
      <c r="U210" t="n">
        <v>3</v>
      </c>
      <c r="V210" t="n">
        <v>3</v>
      </c>
      <c r="W210" t="inlineStr">
        <is>
          <t>2000-02-24</t>
        </is>
      </c>
      <c r="X210" t="inlineStr">
        <is>
          <t>2000-02-24</t>
        </is>
      </c>
      <c r="Y210" t="inlineStr">
        <is>
          <t>1997-05-23</t>
        </is>
      </c>
      <c r="Z210" t="inlineStr">
        <is>
          <t>1997-05-23</t>
        </is>
      </c>
      <c r="AA210" t="n">
        <v>790</v>
      </c>
      <c r="AB210" t="n">
        <v>707</v>
      </c>
      <c r="AC210" t="n">
        <v>1022</v>
      </c>
      <c r="AD210" t="n">
        <v>5</v>
      </c>
      <c r="AE210" t="n">
        <v>7</v>
      </c>
      <c r="AF210" t="n">
        <v>30</v>
      </c>
      <c r="AG210" t="n">
        <v>41</v>
      </c>
      <c r="AH210" t="n">
        <v>14</v>
      </c>
      <c r="AI210" t="n">
        <v>18</v>
      </c>
      <c r="AJ210" t="n">
        <v>4</v>
      </c>
      <c r="AK210" t="n">
        <v>7</v>
      </c>
      <c r="AL210" t="n">
        <v>17</v>
      </c>
      <c r="AM210" t="n">
        <v>21</v>
      </c>
      <c r="AN210" t="n">
        <v>4</v>
      </c>
      <c r="AO210" t="n">
        <v>6</v>
      </c>
      <c r="AP210" t="n">
        <v>0</v>
      </c>
      <c r="AQ210" t="n">
        <v>0</v>
      </c>
      <c r="AR210" t="inlineStr">
        <is>
          <t>No</t>
        </is>
      </c>
      <c r="AS210" t="inlineStr">
        <is>
          <t>Yes</t>
        </is>
      </c>
      <c r="AT210">
        <f>HYPERLINK("http://catalog.hathitrust.org/Record/001205767","HathiTrust Record")</f>
        <v/>
      </c>
      <c r="AU210">
        <f>HYPERLINK("https://creighton-primo.hosted.exlibrisgroup.com/primo-explore/search?tab=default_tab&amp;search_scope=EVERYTHING&amp;vid=01CRU&amp;lang=en_US&amp;offset=0&amp;query=any,contains,991000577839702656","Catalog Record")</f>
        <v/>
      </c>
      <c r="AV210">
        <f>HYPERLINK("http://www.worldcat.org/oclc/95125","WorldCat Record")</f>
        <v/>
      </c>
      <c r="AW210" t="inlineStr">
        <is>
          <t>1316794:eng</t>
        </is>
      </c>
      <c r="AX210" t="inlineStr">
        <is>
          <t>95125</t>
        </is>
      </c>
      <c r="AY210" t="inlineStr">
        <is>
          <t>991000577839702656</t>
        </is>
      </c>
      <c r="AZ210" t="inlineStr">
        <is>
          <t>991000577839702656</t>
        </is>
      </c>
      <c r="BA210" t="inlineStr">
        <is>
          <t>2272652290002656</t>
        </is>
      </c>
      <c r="BB210" t="inlineStr">
        <is>
          <t>BOOK</t>
        </is>
      </c>
      <c r="BE210" t="inlineStr">
        <is>
          <t>32285002728219</t>
        </is>
      </c>
      <c r="BF210" t="inlineStr">
        <is>
          <t>893231223</t>
        </is>
      </c>
    </row>
    <row r="211">
      <c r="A211" t="inlineStr">
        <is>
          <t>No</t>
        </is>
      </c>
      <c r="B211" t="inlineStr">
        <is>
          <t>CURAL</t>
        </is>
      </c>
      <c r="C211" t="inlineStr">
        <is>
          <t>SHELVES</t>
        </is>
      </c>
      <c r="D211" t="inlineStr">
        <is>
          <t>PQ2605.O28 Z638</t>
        </is>
      </c>
      <c r="E211" t="inlineStr">
        <is>
          <t>0                      PQ 2605000O  28                 Z  638</t>
        </is>
      </c>
      <c r="F211" t="inlineStr">
        <is>
          <t>Colette / [by] Robert D. Cottrell.</t>
        </is>
      </c>
      <c r="H211" t="inlineStr">
        <is>
          <t>No</t>
        </is>
      </c>
      <c r="I211" t="inlineStr">
        <is>
          <t>1</t>
        </is>
      </c>
      <c r="J211" t="inlineStr">
        <is>
          <t>No</t>
        </is>
      </c>
      <c r="K211" t="inlineStr">
        <is>
          <t>No</t>
        </is>
      </c>
      <c r="L211" t="inlineStr">
        <is>
          <t>0</t>
        </is>
      </c>
      <c r="M211" t="inlineStr">
        <is>
          <t>Cottrell, Robert D.</t>
        </is>
      </c>
      <c r="N211" t="inlineStr">
        <is>
          <t>New York : F. Ungar Pub. Co., [1974]</t>
        </is>
      </c>
      <c r="O211" t="inlineStr">
        <is>
          <t>1974</t>
        </is>
      </c>
      <c r="Q211" t="inlineStr">
        <is>
          <t>eng</t>
        </is>
      </c>
      <c r="R211" t="inlineStr">
        <is>
          <t>nyu</t>
        </is>
      </c>
      <c r="S211" t="inlineStr">
        <is>
          <t>Modern literature monographs</t>
        </is>
      </c>
      <c r="T211" t="inlineStr">
        <is>
          <t xml:space="preserve">PQ </t>
        </is>
      </c>
      <c r="U211" t="n">
        <v>2</v>
      </c>
      <c r="V211" t="n">
        <v>2</v>
      </c>
      <c r="W211" t="inlineStr">
        <is>
          <t>1996-11-10</t>
        </is>
      </c>
      <c r="X211" t="inlineStr">
        <is>
          <t>1996-11-10</t>
        </is>
      </c>
      <c r="Y211" t="inlineStr">
        <is>
          <t>1995-05-06</t>
        </is>
      </c>
      <c r="Z211" t="inlineStr">
        <is>
          <t>1995-05-06</t>
        </is>
      </c>
      <c r="AA211" t="n">
        <v>920</v>
      </c>
      <c r="AB211" t="n">
        <v>853</v>
      </c>
      <c r="AC211" t="n">
        <v>865</v>
      </c>
      <c r="AD211" t="n">
        <v>5</v>
      </c>
      <c r="AE211" t="n">
        <v>5</v>
      </c>
      <c r="AF211" t="n">
        <v>29</v>
      </c>
      <c r="AG211" t="n">
        <v>29</v>
      </c>
      <c r="AH211" t="n">
        <v>14</v>
      </c>
      <c r="AI211" t="n">
        <v>14</v>
      </c>
      <c r="AJ211" t="n">
        <v>6</v>
      </c>
      <c r="AK211" t="n">
        <v>6</v>
      </c>
      <c r="AL211" t="n">
        <v>13</v>
      </c>
      <c r="AM211" t="n">
        <v>13</v>
      </c>
      <c r="AN211" t="n">
        <v>3</v>
      </c>
      <c r="AO211" t="n">
        <v>3</v>
      </c>
      <c r="AP211" t="n">
        <v>0</v>
      </c>
      <c r="AQ211" t="n">
        <v>0</v>
      </c>
      <c r="AR211" t="inlineStr">
        <is>
          <t>No</t>
        </is>
      </c>
      <c r="AS211" t="inlineStr">
        <is>
          <t>Yes</t>
        </is>
      </c>
      <c r="AT211">
        <f>HYPERLINK("http://catalog.hathitrust.org/Record/001003955","HathiTrust Record")</f>
        <v/>
      </c>
      <c r="AU211">
        <f>HYPERLINK("https://creighton-primo.hosted.exlibrisgroup.com/primo-explore/search?tab=default_tab&amp;search_scope=EVERYTHING&amp;vid=01CRU&amp;lang=en_US&amp;offset=0&amp;query=any,contains,991003366829702656","Catalog Record")</f>
        <v/>
      </c>
      <c r="AV211">
        <f>HYPERLINK("http://www.worldcat.org/oclc/902480","WorldCat Record")</f>
        <v/>
      </c>
      <c r="AW211" t="inlineStr">
        <is>
          <t>1836968:eng</t>
        </is>
      </c>
      <c r="AX211" t="inlineStr">
        <is>
          <t>902480</t>
        </is>
      </c>
      <c r="AY211" t="inlineStr">
        <is>
          <t>991003366829702656</t>
        </is>
      </c>
      <c r="AZ211" t="inlineStr">
        <is>
          <t>991003366829702656</t>
        </is>
      </c>
      <c r="BA211" t="inlineStr">
        <is>
          <t>2262533140002656</t>
        </is>
      </c>
      <c r="BB211" t="inlineStr">
        <is>
          <t>BOOK</t>
        </is>
      </c>
      <c r="BD211" t="inlineStr">
        <is>
          <t>9780804421300</t>
        </is>
      </c>
      <c r="BE211" t="inlineStr">
        <is>
          <t>32285002032653</t>
        </is>
      </c>
      <c r="BF211" t="inlineStr">
        <is>
          <t>893780953</t>
        </is>
      </c>
    </row>
    <row r="212">
      <c r="A212" t="inlineStr">
        <is>
          <t>No</t>
        </is>
      </c>
      <c r="B212" t="inlineStr">
        <is>
          <t>CURAL</t>
        </is>
      </c>
      <c r="C212" t="inlineStr">
        <is>
          <t>SHELVES</t>
        </is>
      </c>
      <c r="D212" t="inlineStr">
        <is>
          <t>PQ2605.O28 Z684 1992</t>
        </is>
      </c>
      <c r="E212" t="inlineStr">
        <is>
          <t>0                      PQ 2605000O  28                 Z  684         1992</t>
        </is>
      </c>
      <c r="F212" t="inlineStr">
        <is>
          <t>Another Colette : the question of gendered writing / Lynne Huffer.</t>
        </is>
      </c>
      <c r="H212" t="inlineStr">
        <is>
          <t>No</t>
        </is>
      </c>
      <c r="I212" t="inlineStr">
        <is>
          <t>1</t>
        </is>
      </c>
      <c r="J212" t="inlineStr">
        <is>
          <t>No</t>
        </is>
      </c>
      <c r="K212" t="inlineStr">
        <is>
          <t>No</t>
        </is>
      </c>
      <c r="L212" t="inlineStr">
        <is>
          <t>0</t>
        </is>
      </c>
      <c r="M212" t="inlineStr">
        <is>
          <t>Huffer, Lynne, 1960-</t>
        </is>
      </c>
      <c r="N212" t="inlineStr">
        <is>
          <t>Ann Arbor : University of Michigan Press, 1992.</t>
        </is>
      </c>
      <c r="O212" t="inlineStr">
        <is>
          <t>1992</t>
        </is>
      </c>
      <c r="Q212" t="inlineStr">
        <is>
          <t>eng</t>
        </is>
      </c>
      <c r="R212" t="inlineStr">
        <is>
          <t>miu</t>
        </is>
      </c>
      <c r="T212" t="inlineStr">
        <is>
          <t xml:space="preserve">PQ </t>
        </is>
      </c>
      <c r="U212" t="n">
        <v>2</v>
      </c>
      <c r="V212" t="n">
        <v>2</v>
      </c>
      <c r="W212" t="inlineStr">
        <is>
          <t>1995-04-12</t>
        </is>
      </c>
      <c r="X212" t="inlineStr">
        <is>
          <t>1995-04-12</t>
        </is>
      </c>
      <c r="Y212" t="inlineStr">
        <is>
          <t>1993-03-16</t>
        </is>
      </c>
      <c r="Z212" t="inlineStr">
        <is>
          <t>1993-03-16</t>
        </is>
      </c>
      <c r="AA212" t="n">
        <v>463</v>
      </c>
      <c r="AB212" t="n">
        <v>393</v>
      </c>
      <c r="AC212" t="n">
        <v>395</v>
      </c>
      <c r="AD212" t="n">
        <v>4</v>
      </c>
      <c r="AE212" t="n">
        <v>4</v>
      </c>
      <c r="AF212" t="n">
        <v>25</v>
      </c>
      <c r="AG212" t="n">
        <v>25</v>
      </c>
      <c r="AH212" t="n">
        <v>9</v>
      </c>
      <c r="AI212" t="n">
        <v>9</v>
      </c>
      <c r="AJ212" t="n">
        <v>9</v>
      </c>
      <c r="AK212" t="n">
        <v>9</v>
      </c>
      <c r="AL212" t="n">
        <v>14</v>
      </c>
      <c r="AM212" t="n">
        <v>14</v>
      </c>
      <c r="AN212" t="n">
        <v>3</v>
      </c>
      <c r="AO212" t="n">
        <v>3</v>
      </c>
      <c r="AP212" t="n">
        <v>0</v>
      </c>
      <c r="AQ212" t="n">
        <v>0</v>
      </c>
      <c r="AR212" t="inlineStr">
        <is>
          <t>No</t>
        </is>
      </c>
      <c r="AS212" t="inlineStr">
        <is>
          <t>Yes</t>
        </is>
      </c>
      <c r="AT212">
        <f>HYPERLINK("http://catalog.hathitrust.org/Record/002633186","HathiTrust Record")</f>
        <v/>
      </c>
      <c r="AU212">
        <f>HYPERLINK("https://creighton-primo.hosted.exlibrisgroup.com/primo-explore/search?tab=default_tab&amp;search_scope=EVERYTHING&amp;vid=01CRU&amp;lang=en_US&amp;offset=0&amp;query=any,contains,991002059149702656","Catalog Record")</f>
        <v/>
      </c>
      <c r="AV212">
        <f>HYPERLINK("http://www.worldcat.org/oclc/26353994","WorldCat Record")</f>
        <v/>
      </c>
      <c r="AW212" t="inlineStr">
        <is>
          <t>143856646:eng</t>
        </is>
      </c>
      <c r="AX212" t="inlineStr">
        <is>
          <t>26353994</t>
        </is>
      </c>
      <c r="AY212" t="inlineStr">
        <is>
          <t>991002059149702656</t>
        </is>
      </c>
      <c r="AZ212" t="inlineStr">
        <is>
          <t>991002059149702656</t>
        </is>
      </c>
      <c r="BA212" t="inlineStr">
        <is>
          <t>2265662020002656</t>
        </is>
      </c>
      <c r="BB212" t="inlineStr">
        <is>
          <t>BOOK</t>
        </is>
      </c>
      <c r="BD212" t="inlineStr">
        <is>
          <t>9780472103072</t>
        </is>
      </c>
      <c r="BE212" t="inlineStr">
        <is>
          <t>32285001497584</t>
        </is>
      </c>
      <c r="BF212" t="inlineStr">
        <is>
          <t>893798126</t>
        </is>
      </c>
    </row>
    <row r="213">
      <c r="A213" t="inlineStr">
        <is>
          <t>No</t>
        </is>
      </c>
      <c r="B213" t="inlineStr">
        <is>
          <t>CURAL</t>
        </is>
      </c>
      <c r="C213" t="inlineStr">
        <is>
          <t>SHELVES</t>
        </is>
      </c>
      <c r="D213" t="inlineStr">
        <is>
          <t>PQ2605.O28 Z74 1975b</t>
        </is>
      </c>
      <c r="E213" t="inlineStr">
        <is>
          <t>0                      PQ 2605000O  28                 Z  74          1975b</t>
        </is>
      </c>
      <c r="F213" t="inlineStr">
        <is>
          <t>Colette : a taste for life / Yvonne Mitchell.</t>
        </is>
      </c>
      <c r="H213" t="inlineStr">
        <is>
          <t>No</t>
        </is>
      </c>
      <c r="I213" t="inlineStr">
        <is>
          <t>1</t>
        </is>
      </c>
      <c r="J213" t="inlineStr">
        <is>
          <t>No</t>
        </is>
      </c>
      <c r="K213" t="inlineStr">
        <is>
          <t>No</t>
        </is>
      </c>
      <c r="L213" t="inlineStr">
        <is>
          <t>0</t>
        </is>
      </c>
      <c r="M213" t="inlineStr">
        <is>
          <t>Mitchell, Yvonne.</t>
        </is>
      </c>
      <c r="N213" t="inlineStr">
        <is>
          <t>New York : Harcourt Brace Jovanovich, c1975.</t>
        </is>
      </c>
      <c r="O213" t="inlineStr">
        <is>
          <t>1975</t>
        </is>
      </c>
      <c r="P213" t="inlineStr">
        <is>
          <t>1st American ed.</t>
        </is>
      </c>
      <c r="Q213" t="inlineStr">
        <is>
          <t>eng</t>
        </is>
      </c>
      <c r="R213" t="inlineStr">
        <is>
          <t>nyu</t>
        </is>
      </c>
      <c r="T213" t="inlineStr">
        <is>
          <t xml:space="preserve">PQ </t>
        </is>
      </c>
      <c r="U213" t="n">
        <v>4</v>
      </c>
      <c r="V213" t="n">
        <v>4</v>
      </c>
      <c r="W213" t="inlineStr">
        <is>
          <t>1997-08-18</t>
        </is>
      </c>
      <c r="X213" t="inlineStr">
        <is>
          <t>1997-08-18</t>
        </is>
      </c>
      <c r="Y213" t="inlineStr">
        <is>
          <t>1991-10-28</t>
        </is>
      </c>
      <c r="Z213" t="inlineStr">
        <is>
          <t>1991-10-28</t>
        </is>
      </c>
      <c r="AA213" t="n">
        <v>630</v>
      </c>
      <c r="AB213" t="n">
        <v>601</v>
      </c>
      <c r="AC213" t="n">
        <v>738</v>
      </c>
      <c r="AD213" t="n">
        <v>1</v>
      </c>
      <c r="AE213" t="n">
        <v>3</v>
      </c>
      <c r="AF213" t="n">
        <v>13</v>
      </c>
      <c r="AG213" t="n">
        <v>19</v>
      </c>
      <c r="AH213" t="n">
        <v>2</v>
      </c>
      <c r="AI213" t="n">
        <v>5</v>
      </c>
      <c r="AJ213" t="n">
        <v>5</v>
      </c>
      <c r="AK213" t="n">
        <v>6</v>
      </c>
      <c r="AL213" t="n">
        <v>9</v>
      </c>
      <c r="AM213" t="n">
        <v>10</v>
      </c>
      <c r="AN213" t="n">
        <v>0</v>
      </c>
      <c r="AO213" t="n">
        <v>2</v>
      </c>
      <c r="AP213" t="n">
        <v>0</v>
      </c>
      <c r="AQ213" t="n">
        <v>0</v>
      </c>
      <c r="AR213" t="inlineStr">
        <is>
          <t>No</t>
        </is>
      </c>
      <c r="AS213" t="inlineStr">
        <is>
          <t>No</t>
        </is>
      </c>
      <c r="AU213">
        <f>HYPERLINK("https://creighton-primo.hosted.exlibrisgroup.com/primo-explore/search?tab=default_tab&amp;search_scope=EVERYTHING&amp;vid=01CRU&amp;lang=en_US&amp;offset=0&amp;query=any,contains,991003897619702656","Catalog Record")</f>
        <v/>
      </c>
      <c r="AV213">
        <f>HYPERLINK("http://www.worldcat.org/oclc/1815078","WorldCat Record")</f>
        <v/>
      </c>
      <c r="AW213" t="inlineStr">
        <is>
          <t>2607949:eng</t>
        </is>
      </c>
      <c r="AX213" t="inlineStr">
        <is>
          <t>1815078</t>
        </is>
      </c>
      <c r="AY213" t="inlineStr">
        <is>
          <t>991003897619702656</t>
        </is>
      </c>
      <c r="AZ213" t="inlineStr">
        <is>
          <t>991003897619702656</t>
        </is>
      </c>
      <c r="BA213" t="inlineStr">
        <is>
          <t>2270641750002656</t>
        </is>
      </c>
      <c r="BB213" t="inlineStr">
        <is>
          <t>BOOK</t>
        </is>
      </c>
      <c r="BD213" t="inlineStr">
        <is>
          <t>9780151185139</t>
        </is>
      </c>
      <c r="BE213" t="inlineStr">
        <is>
          <t>32285000800176</t>
        </is>
      </c>
      <c r="BF213" t="inlineStr">
        <is>
          <t>893240770</t>
        </is>
      </c>
    </row>
    <row r="214">
      <c r="A214" t="inlineStr">
        <is>
          <t>No</t>
        </is>
      </c>
      <c r="B214" t="inlineStr">
        <is>
          <t>CURAL</t>
        </is>
      </c>
      <c r="C214" t="inlineStr">
        <is>
          <t>SHELVES</t>
        </is>
      </c>
      <c r="D214" t="inlineStr">
        <is>
          <t>PQ2605.O28 Z825 1984</t>
        </is>
      </c>
      <c r="E214" t="inlineStr">
        <is>
          <t>0                      PQ 2605000O  28                 Z  825         1984</t>
        </is>
      </c>
      <c r="F214" t="inlineStr">
        <is>
          <t>Colette / Joanna Richardson.</t>
        </is>
      </c>
      <c r="H214" t="inlineStr">
        <is>
          <t>No</t>
        </is>
      </c>
      <c r="I214" t="inlineStr">
        <is>
          <t>1</t>
        </is>
      </c>
      <c r="J214" t="inlineStr">
        <is>
          <t>No</t>
        </is>
      </c>
      <c r="K214" t="inlineStr">
        <is>
          <t>No</t>
        </is>
      </c>
      <c r="L214" t="inlineStr">
        <is>
          <t>0</t>
        </is>
      </c>
      <c r="M214" t="inlineStr">
        <is>
          <t>Richardson, Joanna.</t>
        </is>
      </c>
      <c r="N214" t="inlineStr">
        <is>
          <t>New York : F. Watts, 1984, c1983.</t>
        </is>
      </c>
      <c r="O214" t="inlineStr">
        <is>
          <t>1984</t>
        </is>
      </c>
      <c r="Q214" t="inlineStr">
        <is>
          <t>eng</t>
        </is>
      </c>
      <c r="R214" t="inlineStr">
        <is>
          <t>nyu</t>
        </is>
      </c>
      <c r="T214" t="inlineStr">
        <is>
          <t xml:space="preserve">PQ </t>
        </is>
      </c>
      <c r="U214" t="n">
        <v>2</v>
      </c>
      <c r="V214" t="n">
        <v>2</v>
      </c>
      <c r="W214" t="inlineStr">
        <is>
          <t>1995-04-12</t>
        </is>
      </c>
      <c r="X214" t="inlineStr">
        <is>
          <t>1995-04-12</t>
        </is>
      </c>
      <c r="Y214" t="inlineStr">
        <is>
          <t>1991-05-14</t>
        </is>
      </c>
      <c r="Z214" t="inlineStr">
        <is>
          <t>1991-05-14</t>
        </is>
      </c>
      <c r="AA214" t="n">
        <v>349</v>
      </c>
      <c r="AB214" t="n">
        <v>340</v>
      </c>
      <c r="AC214" t="n">
        <v>465</v>
      </c>
      <c r="AD214" t="n">
        <v>1</v>
      </c>
      <c r="AE214" t="n">
        <v>2</v>
      </c>
      <c r="AF214" t="n">
        <v>10</v>
      </c>
      <c r="AG214" t="n">
        <v>14</v>
      </c>
      <c r="AH214" t="n">
        <v>5</v>
      </c>
      <c r="AI214" t="n">
        <v>6</v>
      </c>
      <c r="AJ214" t="n">
        <v>3</v>
      </c>
      <c r="AK214" t="n">
        <v>5</v>
      </c>
      <c r="AL214" t="n">
        <v>4</v>
      </c>
      <c r="AM214" t="n">
        <v>6</v>
      </c>
      <c r="AN214" t="n">
        <v>0</v>
      </c>
      <c r="AO214" t="n">
        <v>1</v>
      </c>
      <c r="AP214" t="n">
        <v>0</v>
      </c>
      <c r="AQ214" t="n">
        <v>0</v>
      </c>
      <c r="AR214" t="inlineStr">
        <is>
          <t>No</t>
        </is>
      </c>
      <c r="AS214" t="inlineStr">
        <is>
          <t>No</t>
        </is>
      </c>
      <c r="AU214">
        <f>HYPERLINK("https://creighton-primo.hosted.exlibrisgroup.com/primo-explore/search?tab=default_tab&amp;search_scope=EVERYTHING&amp;vid=01CRU&amp;lang=en_US&amp;offset=0&amp;query=any,contains,991000361579702656","Catalog Record")</f>
        <v/>
      </c>
      <c r="AV214">
        <f>HYPERLINK("http://www.worldcat.org/oclc/10372432","WorldCat Record")</f>
        <v/>
      </c>
      <c r="AW214" t="inlineStr">
        <is>
          <t>3129075:eng</t>
        </is>
      </c>
      <c r="AX214" t="inlineStr">
        <is>
          <t>10372432</t>
        </is>
      </c>
      <c r="AY214" t="inlineStr">
        <is>
          <t>991000361579702656</t>
        </is>
      </c>
      <c r="AZ214" t="inlineStr">
        <is>
          <t>991000361579702656</t>
        </is>
      </c>
      <c r="BA214" t="inlineStr">
        <is>
          <t>2258998440002656</t>
        </is>
      </c>
      <c r="BB214" t="inlineStr">
        <is>
          <t>BOOK</t>
        </is>
      </c>
      <c r="BD214" t="inlineStr">
        <is>
          <t>9780531098240</t>
        </is>
      </c>
      <c r="BE214" t="inlineStr">
        <is>
          <t>32285000603828</t>
        </is>
      </c>
      <c r="BF214" t="inlineStr">
        <is>
          <t>893327226</t>
        </is>
      </c>
    </row>
    <row r="215">
      <c r="A215" t="inlineStr">
        <is>
          <t>No</t>
        </is>
      </c>
      <c r="B215" t="inlineStr">
        <is>
          <t>CURAL</t>
        </is>
      </c>
      <c r="C215" t="inlineStr">
        <is>
          <t>SHELVES</t>
        </is>
      </c>
      <c r="D215" t="inlineStr">
        <is>
          <t>PQ2607.U8245 Z93</t>
        </is>
      </c>
      <c r="E215" t="inlineStr">
        <is>
          <t>0                      PQ 2607000U  8245               Z  93</t>
        </is>
      </c>
      <c r="F215" t="inlineStr">
        <is>
          <t>Marguerite Duras. Une étude par Alain Vircondelet. Deux entretiens, une biographie, une bibliographie.</t>
        </is>
      </c>
      <c r="H215" t="inlineStr">
        <is>
          <t>No</t>
        </is>
      </c>
      <c r="I215" t="inlineStr">
        <is>
          <t>1</t>
        </is>
      </c>
      <c r="J215" t="inlineStr">
        <is>
          <t>No</t>
        </is>
      </c>
      <c r="K215" t="inlineStr">
        <is>
          <t>No</t>
        </is>
      </c>
      <c r="L215" t="inlineStr">
        <is>
          <t>0</t>
        </is>
      </c>
      <c r="M215" t="inlineStr">
        <is>
          <t>Vircondelet, Alain.</t>
        </is>
      </c>
      <c r="N215" t="inlineStr">
        <is>
          <t>[Paris] Seghers [1972]</t>
        </is>
      </c>
      <c r="O215" t="inlineStr">
        <is>
          <t>1972</t>
        </is>
      </c>
      <c r="Q215" t="inlineStr">
        <is>
          <t>fre</t>
        </is>
      </c>
      <c r="R215" t="inlineStr">
        <is>
          <t xml:space="preserve">xx </t>
        </is>
      </c>
      <c r="S215" t="inlineStr">
        <is>
          <t>Ecrivains d'hier et d'aujourd'hui ; 42</t>
        </is>
      </c>
      <c r="T215" t="inlineStr">
        <is>
          <t xml:space="preserve">PQ </t>
        </is>
      </c>
      <c r="U215" t="n">
        <v>1</v>
      </c>
      <c r="V215" t="n">
        <v>1</v>
      </c>
      <c r="W215" t="inlineStr">
        <is>
          <t>1998-05-08</t>
        </is>
      </c>
      <c r="X215" t="inlineStr">
        <is>
          <t>1998-05-08</t>
        </is>
      </c>
      <c r="Y215" t="inlineStr">
        <is>
          <t>1997-05-23</t>
        </is>
      </c>
      <c r="Z215" t="inlineStr">
        <is>
          <t>1997-05-23</t>
        </is>
      </c>
      <c r="AA215" t="n">
        <v>222</v>
      </c>
      <c r="AB215" t="n">
        <v>153</v>
      </c>
      <c r="AC215" t="n">
        <v>156</v>
      </c>
      <c r="AD215" t="n">
        <v>1</v>
      </c>
      <c r="AE215" t="n">
        <v>1</v>
      </c>
      <c r="AF215" t="n">
        <v>8</v>
      </c>
      <c r="AG215" t="n">
        <v>8</v>
      </c>
      <c r="AH215" t="n">
        <v>2</v>
      </c>
      <c r="AI215" t="n">
        <v>2</v>
      </c>
      <c r="AJ215" t="n">
        <v>3</v>
      </c>
      <c r="AK215" t="n">
        <v>3</v>
      </c>
      <c r="AL215" t="n">
        <v>4</v>
      </c>
      <c r="AM215" t="n">
        <v>4</v>
      </c>
      <c r="AN215" t="n">
        <v>0</v>
      </c>
      <c r="AO215" t="n">
        <v>0</v>
      </c>
      <c r="AP215" t="n">
        <v>0</v>
      </c>
      <c r="AQ215" t="n">
        <v>0</v>
      </c>
      <c r="AR215" t="inlineStr">
        <is>
          <t>No</t>
        </is>
      </c>
      <c r="AS215" t="inlineStr">
        <is>
          <t>Yes</t>
        </is>
      </c>
      <c r="AT215">
        <f>HYPERLINK("http://catalog.hathitrust.org/Record/001206712","HathiTrust Record")</f>
        <v/>
      </c>
      <c r="AU215">
        <f>HYPERLINK("https://creighton-primo.hosted.exlibrisgroup.com/primo-explore/search?tab=default_tab&amp;search_scope=EVERYTHING&amp;vid=01CRU&amp;lang=en_US&amp;offset=0&amp;query=any,contains,991003139849702656","Catalog Record")</f>
        <v/>
      </c>
      <c r="AV215">
        <f>HYPERLINK("http://www.worldcat.org/oclc/681673","WorldCat Record")</f>
        <v/>
      </c>
      <c r="AW215" t="inlineStr">
        <is>
          <t>9593637224:fre</t>
        </is>
      </c>
      <c r="AX215" t="inlineStr">
        <is>
          <t>681673</t>
        </is>
      </c>
      <c r="AY215" t="inlineStr">
        <is>
          <t>991003139849702656</t>
        </is>
      </c>
      <c r="AZ215" t="inlineStr">
        <is>
          <t>991003139849702656</t>
        </is>
      </c>
      <c r="BA215" t="inlineStr">
        <is>
          <t>2266533480002656</t>
        </is>
      </c>
      <c r="BB215" t="inlineStr">
        <is>
          <t>BOOK</t>
        </is>
      </c>
      <c r="BE215" t="inlineStr">
        <is>
          <t>32285002728706</t>
        </is>
      </c>
      <c r="BF215" t="inlineStr">
        <is>
          <t>893530875</t>
        </is>
      </c>
    </row>
    <row r="216">
      <c r="A216" t="inlineStr">
        <is>
          <t>No</t>
        </is>
      </c>
      <c r="B216" t="inlineStr">
        <is>
          <t>CURAL</t>
        </is>
      </c>
      <c r="C216" t="inlineStr">
        <is>
          <t>SHELVES</t>
        </is>
      </c>
      <c r="D216" t="inlineStr">
        <is>
          <t>PQ261 .B7 1911</t>
        </is>
      </c>
      <c r="E216" t="inlineStr">
        <is>
          <t>0                      PQ 0261000B  7           1911</t>
        </is>
      </c>
      <c r="F216" t="inlineStr">
        <is>
          <t>Études sur le XVIIIe siècle / Ferdinand Brunetière.</t>
        </is>
      </c>
      <c r="H216" t="inlineStr">
        <is>
          <t>No</t>
        </is>
      </c>
      <c r="I216" t="inlineStr">
        <is>
          <t>1</t>
        </is>
      </c>
      <c r="J216" t="inlineStr">
        <is>
          <t>No</t>
        </is>
      </c>
      <c r="K216" t="inlineStr">
        <is>
          <t>No</t>
        </is>
      </c>
      <c r="L216" t="inlineStr">
        <is>
          <t>0</t>
        </is>
      </c>
      <c r="M216" t="inlineStr">
        <is>
          <t>Brunetière, Ferdinand, 1849-1906.</t>
        </is>
      </c>
      <c r="N216" t="inlineStr">
        <is>
          <t>Paris : Hachette, 1911.</t>
        </is>
      </c>
      <c r="O216" t="inlineStr">
        <is>
          <t>1911</t>
        </is>
      </c>
      <c r="Q216" t="inlineStr">
        <is>
          <t>fre</t>
        </is>
      </c>
      <c r="R216" t="inlineStr">
        <is>
          <t xml:space="preserve">xx </t>
        </is>
      </c>
      <c r="T216" t="inlineStr">
        <is>
          <t xml:space="preserve">PQ </t>
        </is>
      </c>
      <c r="U216" t="n">
        <v>2</v>
      </c>
      <c r="V216" t="n">
        <v>2</v>
      </c>
      <c r="W216" t="inlineStr">
        <is>
          <t>1998-12-02</t>
        </is>
      </c>
      <c r="X216" t="inlineStr">
        <is>
          <t>1998-12-02</t>
        </is>
      </c>
      <c r="Y216" t="inlineStr">
        <is>
          <t>1997-04-29</t>
        </is>
      </c>
      <c r="Z216" t="inlineStr">
        <is>
          <t>1997-04-29</t>
        </is>
      </c>
      <c r="AA216" t="n">
        <v>120</v>
      </c>
      <c r="AB216" t="n">
        <v>86</v>
      </c>
      <c r="AC216" t="n">
        <v>103</v>
      </c>
      <c r="AD216" t="n">
        <v>2</v>
      </c>
      <c r="AE216" t="n">
        <v>2</v>
      </c>
      <c r="AF216" t="n">
        <v>2</v>
      </c>
      <c r="AG216" t="n">
        <v>2</v>
      </c>
      <c r="AH216" t="n">
        <v>1</v>
      </c>
      <c r="AI216" t="n">
        <v>1</v>
      </c>
      <c r="AJ216" t="n">
        <v>0</v>
      </c>
      <c r="AK216" t="n">
        <v>0</v>
      </c>
      <c r="AL216" t="n">
        <v>0</v>
      </c>
      <c r="AM216" t="n">
        <v>0</v>
      </c>
      <c r="AN216" t="n">
        <v>1</v>
      </c>
      <c r="AO216" t="n">
        <v>1</v>
      </c>
      <c r="AP216" t="n">
        <v>0</v>
      </c>
      <c r="AQ216" t="n">
        <v>0</v>
      </c>
      <c r="AR216" t="inlineStr">
        <is>
          <t>Yes</t>
        </is>
      </c>
      <c r="AS216" t="inlineStr">
        <is>
          <t>No</t>
        </is>
      </c>
      <c r="AT216">
        <f>HYPERLINK("http://catalog.hathitrust.org/Record/007029742","HathiTrust Record")</f>
        <v/>
      </c>
      <c r="AU216">
        <f>HYPERLINK("https://creighton-primo.hosted.exlibrisgroup.com/primo-explore/search?tab=default_tab&amp;search_scope=EVERYTHING&amp;vid=01CRU&amp;lang=en_US&amp;offset=0&amp;query=any,contains,991003750559702656","Catalog Record")</f>
        <v/>
      </c>
      <c r="AV216">
        <f>HYPERLINK("http://www.worldcat.org/oclc/1426377","WorldCat Record")</f>
        <v/>
      </c>
      <c r="AW216" t="inlineStr">
        <is>
          <t>2301170:fre</t>
        </is>
      </c>
      <c r="AX216" t="inlineStr">
        <is>
          <t>1426377</t>
        </is>
      </c>
      <c r="AY216" t="inlineStr">
        <is>
          <t>991003750559702656</t>
        </is>
      </c>
      <c r="AZ216" t="inlineStr">
        <is>
          <t>991003750559702656</t>
        </is>
      </c>
      <c r="BA216" t="inlineStr">
        <is>
          <t>2271236740002656</t>
        </is>
      </c>
      <c r="BB216" t="inlineStr">
        <is>
          <t>BOOK</t>
        </is>
      </c>
      <c r="BE216" t="inlineStr">
        <is>
          <t>32285002589082</t>
        </is>
      </c>
      <c r="BF216" t="inlineStr">
        <is>
          <t>893793979</t>
        </is>
      </c>
    </row>
    <row r="217">
      <c r="A217" t="inlineStr">
        <is>
          <t>No</t>
        </is>
      </c>
      <c r="B217" t="inlineStr">
        <is>
          <t>CURAL</t>
        </is>
      </c>
      <c r="C217" t="inlineStr">
        <is>
          <t>SHELVES</t>
        </is>
      </c>
      <c r="D217" t="inlineStr">
        <is>
          <t>PQ261 .G75 1966</t>
        </is>
      </c>
      <c r="E217" t="inlineStr">
        <is>
          <t>0                      PQ 0261000G  75          1966</t>
        </is>
      </c>
      <c r="F217" t="inlineStr">
        <is>
          <t>Literary ideas in 18th century France and England : a critical survey.</t>
        </is>
      </c>
      <c r="H217" t="inlineStr">
        <is>
          <t>No</t>
        </is>
      </c>
      <c r="I217" t="inlineStr">
        <is>
          <t>1</t>
        </is>
      </c>
      <c r="J217" t="inlineStr">
        <is>
          <t>No</t>
        </is>
      </c>
      <c r="K217" t="inlineStr">
        <is>
          <t>No</t>
        </is>
      </c>
      <c r="L217" t="inlineStr">
        <is>
          <t>0</t>
        </is>
      </c>
      <c r="M217" t="inlineStr">
        <is>
          <t>Green, F. C. (Frederick Charles), 1891-1964.</t>
        </is>
      </c>
      <c r="N217" t="inlineStr">
        <is>
          <t>New York : F. Ungar Pub. Co., [1966]</t>
        </is>
      </c>
      <c r="O217" t="inlineStr">
        <is>
          <t>1966</t>
        </is>
      </c>
      <c r="Q217" t="inlineStr">
        <is>
          <t>eng</t>
        </is>
      </c>
      <c r="R217" t="inlineStr">
        <is>
          <t>nyu</t>
        </is>
      </c>
      <c r="T217" t="inlineStr">
        <is>
          <t xml:space="preserve">PQ </t>
        </is>
      </c>
      <c r="U217" t="n">
        <v>5</v>
      </c>
      <c r="V217" t="n">
        <v>5</v>
      </c>
      <c r="W217" t="inlineStr">
        <is>
          <t>2002-10-01</t>
        </is>
      </c>
      <c r="X217" t="inlineStr">
        <is>
          <t>2002-10-01</t>
        </is>
      </c>
      <c r="Y217" t="inlineStr">
        <is>
          <t>1993-05-05</t>
        </is>
      </c>
      <c r="Z217" t="inlineStr">
        <is>
          <t>1993-05-05</t>
        </is>
      </c>
      <c r="AA217" t="n">
        <v>697</v>
      </c>
      <c r="AB217" t="n">
        <v>646</v>
      </c>
      <c r="AC217" t="n">
        <v>657</v>
      </c>
      <c r="AD217" t="n">
        <v>4</v>
      </c>
      <c r="AE217" t="n">
        <v>4</v>
      </c>
      <c r="AF217" t="n">
        <v>28</v>
      </c>
      <c r="AG217" t="n">
        <v>28</v>
      </c>
      <c r="AH217" t="n">
        <v>12</v>
      </c>
      <c r="AI217" t="n">
        <v>12</v>
      </c>
      <c r="AJ217" t="n">
        <v>8</v>
      </c>
      <c r="AK217" t="n">
        <v>8</v>
      </c>
      <c r="AL217" t="n">
        <v>11</v>
      </c>
      <c r="AM217" t="n">
        <v>11</v>
      </c>
      <c r="AN217" t="n">
        <v>3</v>
      </c>
      <c r="AO217" t="n">
        <v>3</v>
      </c>
      <c r="AP217" t="n">
        <v>0</v>
      </c>
      <c r="AQ217" t="n">
        <v>0</v>
      </c>
      <c r="AR217" t="inlineStr">
        <is>
          <t>No</t>
        </is>
      </c>
      <c r="AS217" t="inlineStr">
        <is>
          <t>Yes</t>
        </is>
      </c>
      <c r="AT217">
        <f>HYPERLINK("http://catalog.hathitrust.org/Record/001439920","HathiTrust Record")</f>
        <v/>
      </c>
      <c r="AU217">
        <f>HYPERLINK("https://creighton-primo.hosted.exlibrisgroup.com/primo-explore/search?tab=default_tab&amp;search_scope=EVERYTHING&amp;vid=01CRU&amp;lang=en_US&amp;offset=0&amp;query=any,contains,991002402089702656","Catalog Record")</f>
        <v/>
      </c>
      <c r="AV217">
        <f>HYPERLINK("http://www.worldcat.org/oclc/337332","WorldCat Record")</f>
        <v/>
      </c>
      <c r="AW217" t="inlineStr">
        <is>
          <t>147125489:eng</t>
        </is>
      </c>
      <c r="AX217" t="inlineStr">
        <is>
          <t>337332</t>
        </is>
      </c>
      <c r="AY217" t="inlineStr">
        <is>
          <t>991002402089702656</t>
        </is>
      </c>
      <c r="AZ217" t="inlineStr">
        <is>
          <t>991002402089702656</t>
        </is>
      </c>
      <c r="BA217" t="inlineStr">
        <is>
          <t>2255925120002656</t>
        </is>
      </c>
      <c r="BB217" t="inlineStr">
        <is>
          <t>BOOK</t>
        </is>
      </c>
      <c r="BE217" t="inlineStr">
        <is>
          <t>32285001634277</t>
        </is>
      </c>
      <c r="BF217" t="inlineStr">
        <is>
          <t>893504354</t>
        </is>
      </c>
    </row>
    <row r="218">
      <c r="A218" t="inlineStr">
        <is>
          <t>No</t>
        </is>
      </c>
      <c r="B218" t="inlineStr">
        <is>
          <t>CURAL</t>
        </is>
      </c>
      <c r="C218" t="inlineStr">
        <is>
          <t>SHELVES</t>
        </is>
      </c>
      <c r="D218" t="inlineStr">
        <is>
          <t>PQ261 .P74 1990</t>
        </is>
      </c>
      <c r="E218" t="inlineStr">
        <is>
          <t>0                      PQ 0261000P  74          1990</t>
        </is>
      </c>
      <c r="F218" t="inlineStr">
        <is>
          <t>Précis de littérature franc̦aise du XVIIIe siècle / sous la direction de Robert Mauzi, avec la collaboration de Sylvain Menant, Michel Delon.</t>
        </is>
      </c>
      <c r="H218" t="inlineStr">
        <is>
          <t>No</t>
        </is>
      </c>
      <c r="I218" t="inlineStr">
        <is>
          <t>1</t>
        </is>
      </c>
      <c r="J218" t="inlineStr">
        <is>
          <t>No</t>
        </is>
      </c>
      <c r="K218" t="inlineStr">
        <is>
          <t>No</t>
        </is>
      </c>
      <c r="L218" t="inlineStr">
        <is>
          <t>0</t>
        </is>
      </c>
      <c r="N218" t="inlineStr">
        <is>
          <t>Paris : Presses universitaires de France, 1990.</t>
        </is>
      </c>
      <c r="O218" t="inlineStr">
        <is>
          <t>1990</t>
        </is>
      </c>
      <c r="P218" t="inlineStr">
        <is>
          <t>1. ed.</t>
        </is>
      </c>
      <c r="Q218" t="inlineStr">
        <is>
          <t>fre</t>
        </is>
      </c>
      <c r="R218" t="inlineStr">
        <is>
          <t xml:space="preserve">fr </t>
        </is>
      </c>
      <c r="T218" t="inlineStr">
        <is>
          <t xml:space="preserve">PQ </t>
        </is>
      </c>
      <c r="U218" t="n">
        <v>3</v>
      </c>
      <c r="V218" t="n">
        <v>3</v>
      </c>
      <c r="W218" t="inlineStr">
        <is>
          <t>1999-02-17</t>
        </is>
      </c>
      <c r="X218" t="inlineStr">
        <is>
          <t>1999-02-17</t>
        </is>
      </c>
      <c r="Y218" t="inlineStr">
        <is>
          <t>1995-08-22</t>
        </is>
      </c>
      <c r="Z218" t="inlineStr">
        <is>
          <t>1995-08-22</t>
        </is>
      </c>
      <c r="AA218" t="n">
        <v>200</v>
      </c>
      <c r="AB218" t="n">
        <v>119</v>
      </c>
      <c r="AC218" t="n">
        <v>124</v>
      </c>
      <c r="AD218" t="n">
        <v>3</v>
      </c>
      <c r="AE218" t="n">
        <v>3</v>
      </c>
      <c r="AF218" t="n">
        <v>7</v>
      </c>
      <c r="AG218" t="n">
        <v>7</v>
      </c>
      <c r="AH218" t="n">
        <v>2</v>
      </c>
      <c r="AI218" t="n">
        <v>2</v>
      </c>
      <c r="AJ218" t="n">
        <v>1</v>
      </c>
      <c r="AK218" t="n">
        <v>1</v>
      </c>
      <c r="AL218" t="n">
        <v>4</v>
      </c>
      <c r="AM218" t="n">
        <v>4</v>
      </c>
      <c r="AN218" t="n">
        <v>2</v>
      </c>
      <c r="AO218" t="n">
        <v>2</v>
      </c>
      <c r="AP218" t="n">
        <v>0</v>
      </c>
      <c r="AQ218" t="n">
        <v>0</v>
      </c>
      <c r="AR218" t="inlineStr">
        <is>
          <t>No</t>
        </is>
      </c>
      <c r="AS218" t="inlineStr">
        <is>
          <t>Yes</t>
        </is>
      </c>
      <c r="AT218">
        <f>HYPERLINK("http://catalog.hathitrust.org/Record/002230915","HathiTrust Record")</f>
        <v/>
      </c>
      <c r="AU218">
        <f>HYPERLINK("https://creighton-primo.hosted.exlibrisgroup.com/primo-explore/search?tab=default_tab&amp;search_scope=EVERYTHING&amp;vid=01CRU&amp;lang=en_US&amp;offset=0&amp;query=any,contains,991001907019702656","Catalog Record")</f>
        <v/>
      </c>
      <c r="AV218">
        <f>HYPERLINK("http://www.worldcat.org/oclc/24069979","WorldCat Record")</f>
        <v/>
      </c>
      <c r="AW218" t="inlineStr">
        <is>
          <t>355450165:fre</t>
        </is>
      </c>
      <c r="AX218" t="inlineStr">
        <is>
          <t>24069979</t>
        </is>
      </c>
      <c r="AY218" t="inlineStr">
        <is>
          <t>991001907019702656</t>
        </is>
      </c>
      <c r="AZ218" t="inlineStr">
        <is>
          <t>991001907019702656</t>
        </is>
      </c>
      <c r="BA218" t="inlineStr">
        <is>
          <t>2259850890002656</t>
        </is>
      </c>
      <c r="BB218" t="inlineStr">
        <is>
          <t>BOOK</t>
        </is>
      </c>
      <c r="BD218" t="inlineStr">
        <is>
          <t>9782130428596</t>
        </is>
      </c>
      <c r="BE218" t="inlineStr">
        <is>
          <t>32285002078920</t>
        </is>
      </c>
      <c r="BF218" t="inlineStr">
        <is>
          <t>893803988</t>
        </is>
      </c>
    </row>
    <row r="219">
      <c r="A219" t="inlineStr">
        <is>
          <t>No</t>
        </is>
      </c>
      <c r="B219" t="inlineStr">
        <is>
          <t>CURAL</t>
        </is>
      </c>
      <c r="C219" t="inlineStr">
        <is>
          <t>SHELVES</t>
        </is>
      </c>
      <c r="D219" t="inlineStr">
        <is>
          <t>PQ261 .V6 1970</t>
        </is>
      </c>
      <c r="E219" t="inlineStr">
        <is>
          <t>0                      PQ 0261000V  6           1970</t>
        </is>
      </c>
      <c r="F219" t="inlineStr">
        <is>
          <t>History of French literature in the eighteenth century / by Alexander Vinet. Translated from the French by James Bryce.</t>
        </is>
      </c>
      <c r="H219" t="inlineStr">
        <is>
          <t>No</t>
        </is>
      </c>
      <c r="I219" t="inlineStr">
        <is>
          <t>1</t>
        </is>
      </c>
      <c r="J219" t="inlineStr">
        <is>
          <t>No</t>
        </is>
      </c>
      <c r="K219" t="inlineStr">
        <is>
          <t>No</t>
        </is>
      </c>
      <c r="L219" t="inlineStr">
        <is>
          <t>0</t>
        </is>
      </c>
      <c r="M219" t="inlineStr">
        <is>
          <t>Vinet, Alexandre Rodolphe, 1797-1847.</t>
        </is>
      </c>
      <c r="N219" t="inlineStr">
        <is>
          <t>Port Washington, N.Y. : Kennikat Press, [1970]</t>
        </is>
      </c>
      <c r="O219" t="inlineStr">
        <is>
          <t>1970</t>
        </is>
      </c>
      <c r="Q219" t="inlineStr">
        <is>
          <t>eng</t>
        </is>
      </c>
      <c r="R219" t="inlineStr">
        <is>
          <t>nyu</t>
        </is>
      </c>
      <c r="T219" t="inlineStr">
        <is>
          <t xml:space="preserve">PQ </t>
        </is>
      </c>
      <c r="U219" t="n">
        <v>22</v>
      </c>
      <c r="V219" t="n">
        <v>22</v>
      </c>
      <c r="W219" t="inlineStr">
        <is>
          <t>2008-03-16</t>
        </is>
      </c>
      <c r="X219" t="inlineStr">
        <is>
          <t>2008-03-16</t>
        </is>
      </c>
      <c r="Y219" t="inlineStr">
        <is>
          <t>1993-05-10</t>
        </is>
      </c>
      <c r="Z219" t="inlineStr">
        <is>
          <t>1993-05-10</t>
        </is>
      </c>
      <c r="AA219" t="n">
        <v>187</v>
      </c>
      <c r="AB219" t="n">
        <v>162</v>
      </c>
      <c r="AC219" t="n">
        <v>162</v>
      </c>
      <c r="AD219" t="n">
        <v>2</v>
      </c>
      <c r="AE219" t="n">
        <v>2</v>
      </c>
      <c r="AF219" t="n">
        <v>6</v>
      </c>
      <c r="AG219" t="n">
        <v>6</v>
      </c>
      <c r="AH219" t="n">
        <v>2</v>
      </c>
      <c r="AI219" t="n">
        <v>2</v>
      </c>
      <c r="AJ219" t="n">
        <v>1</v>
      </c>
      <c r="AK219" t="n">
        <v>1</v>
      </c>
      <c r="AL219" t="n">
        <v>3</v>
      </c>
      <c r="AM219" t="n">
        <v>3</v>
      </c>
      <c r="AN219" t="n">
        <v>1</v>
      </c>
      <c r="AO219" t="n">
        <v>1</v>
      </c>
      <c r="AP219" t="n">
        <v>0</v>
      </c>
      <c r="AQ219" t="n">
        <v>0</v>
      </c>
      <c r="AR219" t="inlineStr">
        <is>
          <t>No</t>
        </is>
      </c>
      <c r="AS219" t="inlineStr">
        <is>
          <t>No</t>
        </is>
      </c>
      <c r="AU219">
        <f>HYPERLINK("https://creighton-primo.hosted.exlibrisgroup.com/primo-explore/search?tab=default_tab&amp;search_scope=EVERYTHING&amp;vid=01CRU&amp;lang=en_US&amp;offset=0&amp;query=any,contains,991000139619702656","Catalog Record")</f>
        <v/>
      </c>
      <c r="AV219">
        <f>HYPERLINK("http://www.worldcat.org/oclc/57393","WorldCat Record")</f>
        <v/>
      </c>
      <c r="AW219" t="inlineStr">
        <is>
          <t>1192331:eng</t>
        </is>
      </c>
      <c r="AX219" t="inlineStr">
        <is>
          <t>57393</t>
        </is>
      </c>
      <c r="AY219" t="inlineStr">
        <is>
          <t>991000139619702656</t>
        </is>
      </c>
      <c r="AZ219" t="inlineStr">
        <is>
          <t>991000139619702656</t>
        </is>
      </c>
      <c r="BA219" t="inlineStr">
        <is>
          <t>2261642210002656</t>
        </is>
      </c>
      <c r="BB219" t="inlineStr">
        <is>
          <t>BOOK</t>
        </is>
      </c>
      <c r="BD219" t="inlineStr">
        <is>
          <t>9780804608732</t>
        </is>
      </c>
      <c r="BE219" t="inlineStr">
        <is>
          <t>32285001652162</t>
        </is>
      </c>
      <c r="BF219" t="inlineStr">
        <is>
          <t>893502278</t>
        </is>
      </c>
    </row>
    <row r="220">
      <c r="A220" t="inlineStr">
        <is>
          <t>No</t>
        </is>
      </c>
      <c r="B220" t="inlineStr">
        <is>
          <t>CURAL</t>
        </is>
      </c>
      <c r="C220" t="inlineStr">
        <is>
          <t>SHELVES</t>
        </is>
      </c>
      <c r="D220" t="inlineStr">
        <is>
          <t>PQ2613.E53 Z9 1993</t>
        </is>
      </c>
      <c r="E220" t="inlineStr">
        <is>
          <t>0                      PQ 2613000E  53                 Z  9           1993</t>
        </is>
      </c>
      <c r="F220" t="inlineStr">
        <is>
          <t>Genet : a biography / Edmund White ; with a chronology by Albert Dichy.</t>
        </is>
      </c>
      <c r="H220" t="inlineStr">
        <is>
          <t>No</t>
        </is>
      </c>
      <c r="I220" t="inlineStr">
        <is>
          <t>1</t>
        </is>
      </c>
      <c r="J220" t="inlineStr">
        <is>
          <t>No</t>
        </is>
      </c>
      <c r="K220" t="inlineStr">
        <is>
          <t>No</t>
        </is>
      </c>
      <c r="L220" t="inlineStr">
        <is>
          <t>0</t>
        </is>
      </c>
      <c r="M220" t="inlineStr">
        <is>
          <t>White, Edmund, 1940-</t>
        </is>
      </c>
      <c r="N220" t="inlineStr">
        <is>
          <t>New York : Alfred A. Knopf, 1993.</t>
        </is>
      </c>
      <c r="O220" t="inlineStr">
        <is>
          <t>1993</t>
        </is>
      </c>
      <c r="Q220" t="inlineStr">
        <is>
          <t>eng</t>
        </is>
      </c>
      <c r="R220" t="inlineStr">
        <is>
          <t>nyu</t>
        </is>
      </c>
      <c r="T220" t="inlineStr">
        <is>
          <t xml:space="preserve">PQ </t>
        </is>
      </c>
      <c r="U220" t="n">
        <v>3</v>
      </c>
      <c r="V220" t="n">
        <v>3</v>
      </c>
      <c r="W220" t="inlineStr">
        <is>
          <t>1994-01-17</t>
        </is>
      </c>
      <c r="X220" t="inlineStr">
        <is>
          <t>1994-01-17</t>
        </is>
      </c>
      <c r="Y220" t="inlineStr">
        <is>
          <t>1993-12-16</t>
        </is>
      </c>
      <c r="Z220" t="inlineStr">
        <is>
          <t>1993-12-16</t>
        </is>
      </c>
      <c r="AA220" t="n">
        <v>1178</v>
      </c>
      <c r="AB220" t="n">
        <v>1081</v>
      </c>
      <c r="AC220" t="n">
        <v>1194</v>
      </c>
      <c r="AD220" t="n">
        <v>8</v>
      </c>
      <c r="AE220" t="n">
        <v>8</v>
      </c>
      <c r="AF220" t="n">
        <v>44</v>
      </c>
      <c r="AG220" t="n">
        <v>47</v>
      </c>
      <c r="AH220" t="n">
        <v>18</v>
      </c>
      <c r="AI220" t="n">
        <v>20</v>
      </c>
      <c r="AJ220" t="n">
        <v>11</v>
      </c>
      <c r="AK220" t="n">
        <v>11</v>
      </c>
      <c r="AL220" t="n">
        <v>22</v>
      </c>
      <c r="AM220" t="n">
        <v>24</v>
      </c>
      <c r="AN220" t="n">
        <v>6</v>
      </c>
      <c r="AO220" t="n">
        <v>6</v>
      </c>
      <c r="AP220" t="n">
        <v>0</v>
      </c>
      <c r="AQ220" t="n">
        <v>0</v>
      </c>
      <c r="AR220" t="inlineStr">
        <is>
          <t>No</t>
        </is>
      </c>
      <c r="AS220" t="inlineStr">
        <is>
          <t>Yes</t>
        </is>
      </c>
      <c r="AT220">
        <f>HYPERLINK("http://catalog.hathitrust.org/Record/002732173","HathiTrust Record")</f>
        <v/>
      </c>
      <c r="AU220">
        <f>HYPERLINK("https://creighton-primo.hosted.exlibrisgroup.com/primo-explore/search?tab=default_tab&amp;search_scope=EVERYTHING&amp;vid=01CRU&amp;lang=en_US&amp;offset=0&amp;query=any,contains,991002140239702656","Catalog Record")</f>
        <v/>
      </c>
      <c r="AV220">
        <f>HYPERLINK("http://www.worldcat.org/oclc/27431332","WorldCat Record")</f>
        <v/>
      </c>
      <c r="AW220" t="inlineStr">
        <is>
          <t>11049613:eng</t>
        </is>
      </c>
      <c r="AX220" t="inlineStr">
        <is>
          <t>27431332</t>
        </is>
      </c>
      <c r="AY220" t="inlineStr">
        <is>
          <t>991002140239702656</t>
        </is>
      </c>
      <c r="AZ220" t="inlineStr">
        <is>
          <t>991002140239702656</t>
        </is>
      </c>
      <c r="BA220" t="inlineStr">
        <is>
          <t>2264436910002656</t>
        </is>
      </c>
      <c r="BB220" t="inlineStr">
        <is>
          <t>BOOK</t>
        </is>
      </c>
      <c r="BD220" t="inlineStr">
        <is>
          <t>9780394571713</t>
        </is>
      </c>
      <c r="BE220" t="inlineStr">
        <is>
          <t>32285001816577</t>
        </is>
      </c>
      <c r="BF220" t="inlineStr">
        <is>
          <t>893347149</t>
        </is>
      </c>
    </row>
    <row r="221">
      <c r="A221" t="inlineStr">
        <is>
          <t>No</t>
        </is>
      </c>
      <c r="B221" t="inlineStr">
        <is>
          <t>CURAL</t>
        </is>
      </c>
      <c r="C221" t="inlineStr">
        <is>
          <t>SHELVES</t>
        </is>
      </c>
      <c r="D221" t="inlineStr">
        <is>
          <t>PQ2613.R735 T38</t>
        </is>
      </c>
      <c r="E221" t="inlineStr">
        <is>
          <t>0                      PQ 2613000R  735                T  38</t>
        </is>
      </c>
      <c r="F221" t="inlineStr">
        <is>
          <t>Taxi de nuit.</t>
        </is>
      </c>
      <c r="H221" t="inlineStr">
        <is>
          <t>No</t>
        </is>
      </c>
      <c r="I221" t="inlineStr">
        <is>
          <t>1</t>
        </is>
      </c>
      <c r="J221" t="inlineStr">
        <is>
          <t>No</t>
        </is>
      </c>
      <c r="K221" t="inlineStr">
        <is>
          <t>No</t>
        </is>
      </c>
      <c r="L221" t="inlineStr">
        <is>
          <t>0</t>
        </is>
      </c>
      <c r="M221" t="inlineStr">
        <is>
          <t>Groussard, Serge, 1921-</t>
        </is>
      </c>
      <c r="N221" t="inlineStr">
        <is>
          <t>[Paris] Plon [1970]</t>
        </is>
      </c>
      <c r="O221" t="inlineStr">
        <is>
          <t>1970</t>
        </is>
      </c>
      <c r="Q221" t="inlineStr">
        <is>
          <t>fre</t>
        </is>
      </c>
      <c r="R221" t="inlineStr">
        <is>
          <t xml:space="preserve">fr </t>
        </is>
      </c>
      <c r="T221" t="inlineStr">
        <is>
          <t xml:space="preserve">PQ </t>
        </is>
      </c>
      <c r="U221" t="n">
        <v>1</v>
      </c>
      <c r="V221" t="n">
        <v>1</v>
      </c>
      <c r="W221" t="inlineStr">
        <is>
          <t>2003-12-13</t>
        </is>
      </c>
      <c r="X221" t="inlineStr">
        <is>
          <t>2003-12-13</t>
        </is>
      </c>
      <c r="Y221" t="inlineStr">
        <is>
          <t>1997-05-28</t>
        </is>
      </c>
      <c r="Z221" t="inlineStr">
        <is>
          <t>1997-05-28</t>
        </is>
      </c>
      <c r="AA221" t="n">
        <v>99</v>
      </c>
      <c r="AB221" t="n">
        <v>71</v>
      </c>
      <c r="AC221" t="n">
        <v>75</v>
      </c>
      <c r="AD221" t="n">
        <v>1</v>
      </c>
      <c r="AE221" t="n">
        <v>1</v>
      </c>
      <c r="AF221" t="n">
        <v>1</v>
      </c>
      <c r="AG221" t="n">
        <v>1</v>
      </c>
      <c r="AH221" t="n">
        <v>0</v>
      </c>
      <c r="AI221" t="n">
        <v>0</v>
      </c>
      <c r="AJ221" t="n">
        <v>1</v>
      </c>
      <c r="AK221" t="n">
        <v>1</v>
      </c>
      <c r="AL221" t="n">
        <v>0</v>
      </c>
      <c r="AM221" t="n">
        <v>0</v>
      </c>
      <c r="AN221" t="n">
        <v>0</v>
      </c>
      <c r="AO221" t="n">
        <v>0</v>
      </c>
      <c r="AP221" t="n">
        <v>0</v>
      </c>
      <c r="AQ221" t="n">
        <v>0</v>
      </c>
      <c r="AR221" t="inlineStr">
        <is>
          <t>No</t>
        </is>
      </c>
      <c r="AS221" t="inlineStr">
        <is>
          <t>Yes</t>
        </is>
      </c>
      <c r="AT221">
        <f>HYPERLINK("http://catalog.hathitrust.org/Record/001796492","HathiTrust Record")</f>
        <v/>
      </c>
      <c r="AU221">
        <f>HYPERLINK("https://creighton-primo.hosted.exlibrisgroup.com/primo-explore/search?tab=default_tab&amp;search_scope=EVERYTHING&amp;vid=01CRU&amp;lang=en_US&amp;offset=0&amp;query=any,contains,991004283409702656","Catalog Record")</f>
        <v/>
      </c>
      <c r="AV221">
        <f>HYPERLINK("http://www.worldcat.org/oclc/706249","WorldCat Record")</f>
        <v/>
      </c>
      <c r="AW221" t="inlineStr">
        <is>
          <t>1632232:fre</t>
        </is>
      </c>
      <c r="AX221" t="inlineStr">
        <is>
          <t>706249</t>
        </is>
      </c>
      <c r="AY221" t="inlineStr">
        <is>
          <t>991004283409702656</t>
        </is>
      </c>
      <c r="AZ221" t="inlineStr">
        <is>
          <t>991004283409702656</t>
        </is>
      </c>
      <c r="BA221" t="inlineStr">
        <is>
          <t>2270142830002656</t>
        </is>
      </c>
      <c r="BB221" t="inlineStr">
        <is>
          <t>BOOK</t>
        </is>
      </c>
      <c r="BE221" t="inlineStr">
        <is>
          <t>32285002729514</t>
        </is>
      </c>
      <c r="BF221" t="inlineStr">
        <is>
          <t>893331405</t>
        </is>
      </c>
    </row>
    <row r="222">
      <c r="A222" t="inlineStr">
        <is>
          <t>No</t>
        </is>
      </c>
      <c r="B222" t="inlineStr">
        <is>
          <t>CURAL</t>
        </is>
      </c>
      <c r="C222" t="inlineStr">
        <is>
          <t>SHELVES</t>
        </is>
      </c>
      <c r="D222" t="inlineStr">
        <is>
          <t>PQ2617.O6 Z74</t>
        </is>
      </c>
      <c r="E222" t="inlineStr">
        <is>
          <t>0                      PQ 2617000O  6                  Z  74</t>
        </is>
      </c>
      <c r="F222" t="inlineStr">
        <is>
          <t>Ionesco : a collection of critical essays / edited by Rosette C. Lamont.</t>
        </is>
      </c>
      <c r="H222" t="inlineStr">
        <is>
          <t>No</t>
        </is>
      </c>
      <c r="I222" t="inlineStr">
        <is>
          <t>1</t>
        </is>
      </c>
      <c r="J222" t="inlineStr">
        <is>
          <t>No</t>
        </is>
      </c>
      <c r="K222" t="inlineStr">
        <is>
          <t>No</t>
        </is>
      </c>
      <c r="L222" t="inlineStr">
        <is>
          <t>0</t>
        </is>
      </c>
      <c r="M222" t="inlineStr">
        <is>
          <t>Lamont, Rosette C., compiler.</t>
        </is>
      </c>
      <c r="N222" t="inlineStr">
        <is>
          <t>Englewood Cliffs, N.J. : Prentice-Hall, [1973]</t>
        </is>
      </c>
      <c r="O222" t="inlineStr">
        <is>
          <t>1973</t>
        </is>
      </c>
      <c r="Q222" t="inlineStr">
        <is>
          <t>eng</t>
        </is>
      </c>
      <c r="R222" t="inlineStr">
        <is>
          <t>nju</t>
        </is>
      </c>
      <c r="S222" t="inlineStr">
        <is>
          <t>A Spectrum book</t>
        </is>
      </c>
      <c r="T222" t="inlineStr">
        <is>
          <t xml:space="preserve">PQ </t>
        </is>
      </c>
      <c r="U222" t="n">
        <v>9</v>
      </c>
      <c r="V222" t="n">
        <v>9</v>
      </c>
      <c r="W222" t="inlineStr">
        <is>
          <t>1998-12-16</t>
        </is>
      </c>
      <c r="X222" t="inlineStr">
        <is>
          <t>1998-12-16</t>
        </is>
      </c>
      <c r="Y222" t="inlineStr">
        <is>
          <t>1991-12-13</t>
        </is>
      </c>
      <c r="Z222" t="inlineStr">
        <is>
          <t>1991-12-13</t>
        </is>
      </c>
      <c r="AA222" t="n">
        <v>1536</v>
      </c>
      <c r="AB222" t="n">
        <v>1363</v>
      </c>
      <c r="AC222" t="n">
        <v>1377</v>
      </c>
      <c r="AD222" t="n">
        <v>8</v>
      </c>
      <c r="AE222" t="n">
        <v>8</v>
      </c>
      <c r="AF222" t="n">
        <v>49</v>
      </c>
      <c r="AG222" t="n">
        <v>49</v>
      </c>
      <c r="AH222" t="n">
        <v>23</v>
      </c>
      <c r="AI222" t="n">
        <v>23</v>
      </c>
      <c r="AJ222" t="n">
        <v>10</v>
      </c>
      <c r="AK222" t="n">
        <v>10</v>
      </c>
      <c r="AL222" t="n">
        <v>23</v>
      </c>
      <c r="AM222" t="n">
        <v>23</v>
      </c>
      <c r="AN222" t="n">
        <v>6</v>
      </c>
      <c r="AO222" t="n">
        <v>6</v>
      </c>
      <c r="AP222" t="n">
        <v>0</v>
      </c>
      <c r="AQ222" t="n">
        <v>0</v>
      </c>
      <c r="AR222" t="inlineStr">
        <is>
          <t>No</t>
        </is>
      </c>
      <c r="AS222" t="inlineStr">
        <is>
          <t>Yes</t>
        </is>
      </c>
      <c r="AT222">
        <f>HYPERLINK("http://catalog.hathitrust.org/Record/000008337","HathiTrust Record")</f>
        <v/>
      </c>
      <c r="AU222">
        <f>HYPERLINK("https://creighton-primo.hosted.exlibrisgroup.com/primo-explore/search?tab=default_tab&amp;search_scope=EVERYTHING&amp;vid=01CRU&amp;lang=en_US&amp;offset=0&amp;query=any,contains,991003049829702656","Catalog Record")</f>
        <v/>
      </c>
      <c r="AV222">
        <f>HYPERLINK("http://www.worldcat.org/oclc/609764","WorldCat Record")</f>
        <v/>
      </c>
      <c r="AW222" t="inlineStr">
        <is>
          <t>1407048212:eng</t>
        </is>
      </c>
      <c r="AX222" t="inlineStr">
        <is>
          <t>609764</t>
        </is>
      </c>
      <c r="AY222" t="inlineStr">
        <is>
          <t>991003049829702656</t>
        </is>
      </c>
      <c r="AZ222" t="inlineStr">
        <is>
          <t>991003049829702656</t>
        </is>
      </c>
      <c r="BA222" t="inlineStr">
        <is>
          <t>2254878740002656</t>
        </is>
      </c>
      <c r="BB222" t="inlineStr">
        <is>
          <t>BOOK</t>
        </is>
      </c>
      <c r="BD222" t="inlineStr">
        <is>
          <t>9780135049778</t>
        </is>
      </c>
      <c r="BE222" t="inlineStr">
        <is>
          <t>32285000876168</t>
        </is>
      </c>
      <c r="BF222" t="inlineStr">
        <is>
          <t>893786917</t>
        </is>
      </c>
    </row>
    <row r="223">
      <c r="A223" t="inlineStr">
        <is>
          <t>No</t>
        </is>
      </c>
      <c r="B223" t="inlineStr">
        <is>
          <t>CURAL</t>
        </is>
      </c>
      <c r="C223" t="inlineStr">
        <is>
          <t>SHELVES</t>
        </is>
      </c>
      <c r="D223" t="inlineStr">
        <is>
          <t>PQ2617.O6 Z75</t>
        </is>
      </c>
      <c r="E223" t="inlineStr">
        <is>
          <t>0                      PQ 2617000O  6                  Z  75</t>
        </is>
      </c>
      <c r="F223" t="inlineStr">
        <is>
          <t>Ionesco.</t>
        </is>
      </c>
      <c r="H223" t="inlineStr">
        <is>
          <t>No</t>
        </is>
      </c>
      <c r="I223" t="inlineStr">
        <is>
          <t>1</t>
        </is>
      </c>
      <c r="J223" t="inlineStr">
        <is>
          <t>No</t>
        </is>
      </c>
      <c r="K223" t="inlineStr">
        <is>
          <t>No</t>
        </is>
      </c>
      <c r="L223" t="inlineStr">
        <is>
          <t>0</t>
        </is>
      </c>
      <c r="M223" t="inlineStr">
        <is>
          <t>Lewis, Allan.</t>
        </is>
      </c>
      <c r="N223" t="inlineStr">
        <is>
          <t>New York, Twayne Publishers [1972]</t>
        </is>
      </c>
      <c r="O223" t="inlineStr">
        <is>
          <t>1972</t>
        </is>
      </c>
      <c r="Q223" t="inlineStr">
        <is>
          <t>eng</t>
        </is>
      </c>
      <c r="R223" t="inlineStr">
        <is>
          <t>nyu</t>
        </is>
      </c>
      <c r="S223" t="inlineStr">
        <is>
          <t>Twayne's world authors series, TWAS 239. France</t>
        </is>
      </c>
      <c r="T223" t="inlineStr">
        <is>
          <t xml:space="preserve">PQ </t>
        </is>
      </c>
      <c r="U223" t="n">
        <v>5</v>
      </c>
      <c r="V223" t="n">
        <v>5</v>
      </c>
      <c r="W223" t="inlineStr">
        <is>
          <t>1993-04-13</t>
        </is>
      </c>
      <c r="X223" t="inlineStr">
        <is>
          <t>1993-04-13</t>
        </is>
      </c>
      <c r="Y223" t="inlineStr">
        <is>
          <t>1991-12-18</t>
        </is>
      </c>
      <c r="Z223" t="inlineStr">
        <is>
          <t>1991-12-18</t>
        </is>
      </c>
      <c r="AA223" t="n">
        <v>801</v>
      </c>
      <c r="AB223" t="n">
        <v>735</v>
      </c>
      <c r="AC223" t="n">
        <v>783</v>
      </c>
      <c r="AD223" t="n">
        <v>3</v>
      </c>
      <c r="AE223" t="n">
        <v>3</v>
      </c>
      <c r="AF223" t="n">
        <v>29</v>
      </c>
      <c r="AG223" t="n">
        <v>30</v>
      </c>
      <c r="AH223" t="n">
        <v>13</v>
      </c>
      <c r="AI223" t="n">
        <v>14</v>
      </c>
      <c r="AJ223" t="n">
        <v>7</v>
      </c>
      <c r="AK223" t="n">
        <v>7</v>
      </c>
      <c r="AL223" t="n">
        <v>16</v>
      </c>
      <c r="AM223" t="n">
        <v>17</v>
      </c>
      <c r="AN223" t="n">
        <v>2</v>
      </c>
      <c r="AO223" t="n">
        <v>2</v>
      </c>
      <c r="AP223" t="n">
        <v>0</v>
      </c>
      <c r="AQ223" t="n">
        <v>0</v>
      </c>
      <c r="AR223" t="inlineStr">
        <is>
          <t>No</t>
        </is>
      </c>
      <c r="AS223" t="inlineStr">
        <is>
          <t>Yes</t>
        </is>
      </c>
      <c r="AT223">
        <f>HYPERLINK("http://catalog.hathitrust.org/Record/001208486","HathiTrust Record")</f>
        <v/>
      </c>
      <c r="AU223">
        <f>HYPERLINK("https://creighton-primo.hosted.exlibrisgroup.com/primo-explore/search?tab=default_tab&amp;search_scope=EVERYTHING&amp;vid=01CRU&amp;lang=en_US&amp;offset=0&amp;query=any,contains,991002971489702656","Catalog Record")</f>
        <v/>
      </c>
      <c r="AV223">
        <f>HYPERLINK("http://www.worldcat.org/oclc/549401","WorldCat Record")</f>
        <v/>
      </c>
      <c r="AW223" t="inlineStr">
        <is>
          <t>3943780379:eng</t>
        </is>
      </c>
      <c r="AX223" t="inlineStr">
        <is>
          <t>549401</t>
        </is>
      </c>
      <c r="AY223" t="inlineStr">
        <is>
          <t>991002971489702656</t>
        </is>
      </c>
      <c r="AZ223" t="inlineStr">
        <is>
          <t>991002971489702656</t>
        </is>
      </c>
      <c r="BA223" t="inlineStr">
        <is>
          <t>2265706370002656</t>
        </is>
      </c>
      <c r="BB223" t="inlineStr">
        <is>
          <t>BOOK</t>
        </is>
      </c>
      <c r="BD223" t="inlineStr">
        <is>
          <t>9780805724523</t>
        </is>
      </c>
      <c r="BE223" t="inlineStr">
        <is>
          <t>32285000907393</t>
        </is>
      </c>
      <c r="BF223" t="inlineStr">
        <is>
          <t>893604293</t>
        </is>
      </c>
    </row>
    <row r="224">
      <c r="A224" t="inlineStr">
        <is>
          <t>No</t>
        </is>
      </c>
      <c r="B224" t="inlineStr">
        <is>
          <t>CURAL</t>
        </is>
      </c>
      <c r="C224" t="inlineStr">
        <is>
          <t>SHELVES</t>
        </is>
      </c>
      <c r="D224" t="inlineStr">
        <is>
          <t>PQ2619.A65 Z72 1980</t>
        </is>
      </c>
      <c r="E224" t="inlineStr">
        <is>
          <t>0                      PQ 2619000A  65                 Z  72          1980</t>
        </is>
      </c>
      <c r="F224" t="inlineStr">
        <is>
          <t>Alfred Jarry, nihilism and the theater of the absurd / Maurice Marc LaBelle.</t>
        </is>
      </c>
      <c r="H224" t="inlineStr">
        <is>
          <t>No</t>
        </is>
      </c>
      <c r="I224" t="inlineStr">
        <is>
          <t>1</t>
        </is>
      </c>
      <c r="J224" t="inlineStr">
        <is>
          <t>No</t>
        </is>
      </c>
      <c r="K224" t="inlineStr">
        <is>
          <t>No</t>
        </is>
      </c>
      <c r="L224" t="inlineStr">
        <is>
          <t>0</t>
        </is>
      </c>
      <c r="M224" t="inlineStr">
        <is>
          <t>LaBelle, Maurice Marc, 1939-</t>
        </is>
      </c>
      <c r="N224" t="inlineStr">
        <is>
          <t>New York : New York University Press, c1980.</t>
        </is>
      </c>
      <c r="O224" t="inlineStr">
        <is>
          <t>1980</t>
        </is>
      </c>
      <c r="Q224" t="inlineStr">
        <is>
          <t>eng</t>
        </is>
      </c>
      <c r="R224" t="inlineStr">
        <is>
          <t>nyu</t>
        </is>
      </c>
      <c r="S224" t="inlineStr">
        <is>
          <t>The Gotham library of the New York University Press</t>
        </is>
      </c>
      <c r="T224" t="inlineStr">
        <is>
          <t xml:space="preserve">PQ </t>
        </is>
      </c>
      <c r="U224" t="n">
        <v>7</v>
      </c>
      <c r="V224" t="n">
        <v>7</v>
      </c>
      <c r="W224" t="inlineStr">
        <is>
          <t>2001-11-28</t>
        </is>
      </c>
      <c r="X224" t="inlineStr">
        <is>
          <t>2001-11-28</t>
        </is>
      </c>
      <c r="Y224" t="inlineStr">
        <is>
          <t>1991-10-28</t>
        </is>
      </c>
      <c r="Z224" t="inlineStr">
        <is>
          <t>1991-10-28</t>
        </is>
      </c>
      <c r="AA224" t="n">
        <v>688</v>
      </c>
      <c r="AB224" t="n">
        <v>581</v>
      </c>
      <c r="AC224" t="n">
        <v>581</v>
      </c>
      <c r="AD224" t="n">
        <v>4</v>
      </c>
      <c r="AE224" t="n">
        <v>4</v>
      </c>
      <c r="AF224" t="n">
        <v>27</v>
      </c>
      <c r="AG224" t="n">
        <v>27</v>
      </c>
      <c r="AH224" t="n">
        <v>12</v>
      </c>
      <c r="AI224" t="n">
        <v>12</v>
      </c>
      <c r="AJ224" t="n">
        <v>7</v>
      </c>
      <c r="AK224" t="n">
        <v>7</v>
      </c>
      <c r="AL224" t="n">
        <v>14</v>
      </c>
      <c r="AM224" t="n">
        <v>14</v>
      </c>
      <c r="AN224" t="n">
        <v>3</v>
      </c>
      <c r="AO224" t="n">
        <v>3</v>
      </c>
      <c r="AP224" t="n">
        <v>0</v>
      </c>
      <c r="AQ224" t="n">
        <v>0</v>
      </c>
      <c r="AR224" t="inlineStr">
        <is>
          <t>No</t>
        </is>
      </c>
      <c r="AS224" t="inlineStr">
        <is>
          <t>No</t>
        </is>
      </c>
      <c r="AU224">
        <f>HYPERLINK("https://creighton-primo.hosted.exlibrisgroup.com/primo-explore/search?tab=default_tab&amp;search_scope=EVERYTHING&amp;vid=01CRU&amp;lang=en_US&amp;offset=0&amp;query=any,contains,991004882939702656","Catalog Record")</f>
        <v/>
      </c>
      <c r="AV224">
        <f>HYPERLINK("http://www.worldcat.org/oclc/5829988","WorldCat Record")</f>
        <v/>
      </c>
      <c r="AW224" t="inlineStr">
        <is>
          <t>476644:eng</t>
        </is>
      </c>
      <c r="AX224" t="inlineStr">
        <is>
          <t>5829988</t>
        </is>
      </c>
      <c r="AY224" t="inlineStr">
        <is>
          <t>991004882939702656</t>
        </is>
      </c>
      <c r="AZ224" t="inlineStr">
        <is>
          <t>991004882939702656</t>
        </is>
      </c>
      <c r="BA224" t="inlineStr">
        <is>
          <t>2260976900002656</t>
        </is>
      </c>
      <c r="BB224" t="inlineStr">
        <is>
          <t>BOOK</t>
        </is>
      </c>
      <c r="BD224" t="inlineStr">
        <is>
          <t>9780814749951</t>
        </is>
      </c>
      <c r="BE224" t="inlineStr">
        <is>
          <t>32285000802438</t>
        </is>
      </c>
      <c r="BF224" t="inlineStr">
        <is>
          <t>893807579</t>
        </is>
      </c>
    </row>
    <row r="225">
      <c r="A225" t="inlineStr">
        <is>
          <t>No</t>
        </is>
      </c>
      <c r="B225" t="inlineStr">
        <is>
          <t>CURAL</t>
        </is>
      </c>
      <c r="C225" t="inlineStr">
        <is>
          <t>SHELVES</t>
        </is>
      </c>
      <c r="D225" t="inlineStr">
        <is>
          <t>PQ2623.E3657 A566 1975</t>
        </is>
      </c>
      <c r="E225" t="inlineStr">
        <is>
          <t>0                      PQ 2623000E  3657               A  566         1975</t>
        </is>
      </c>
      <c r="F225" t="inlineStr">
        <is>
          <t>La mujer del zorrito / Violette Leduc ; traducción de Enrique Pezzoni.</t>
        </is>
      </c>
      <c r="H225" t="inlineStr">
        <is>
          <t>No</t>
        </is>
      </c>
      <c r="I225" t="inlineStr">
        <is>
          <t>1</t>
        </is>
      </c>
      <c r="J225" t="inlineStr">
        <is>
          <t>No</t>
        </is>
      </c>
      <c r="K225" t="inlineStr">
        <is>
          <t>No</t>
        </is>
      </c>
      <c r="L225" t="inlineStr">
        <is>
          <t>0</t>
        </is>
      </c>
      <c r="M225" t="inlineStr">
        <is>
          <t>Leduc, Violette, 1907-1972.</t>
        </is>
      </c>
      <c r="N225" t="inlineStr">
        <is>
          <t>Buenos Aires : Editorial Sudamericana, c1975.</t>
        </is>
      </c>
      <c r="O225" t="inlineStr">
        <is>
          <t>1975</t>
        </is>
      </c>
      <c r="Q225" t="inlineStr">
        <is>
          <t>spa</t>
        </is>
      </c>
      <c r="R225" t="inlineStr">
        <is>
          <t xml:space="preserve">ag </t>
        </is>
      </c>
      <c r="S225" t="inlineStr">
        <is>
          <t>Colección horizonte</t>
        </is>
      </c>
      <c r="T225" t="inlineStr">
        <is>
          <t xml:space="preserve">PQ </t>
        </is>
      </c>
      <c r="U225" t="n">
        <v>1</v>
      </c>
      <c r="V225" t="n">
        <v>1</v>
      </c>
      <c r="W225" t="inlineStr">
        <is>
          <t>2001-12-13</t>
        </is>
      </c>
      <c r="X225" t="inlineStr">
        <is>
          <t>2001-12-13</t>
        </is>
      </c>
      <c r="Y225" t="inlineStr">
        <is>
          <t>2001-12-13</t>
        </is>
      </c>
      <c r="Z225" t="inlineStr">
        <is>
          <t>2001-12-13</t>
        </is>
      </c>
      <c r="AA225" t="n">
        <v>4</v>
      </c>
      <c r="AB225" t="n">
        <v>3</v>
      </c>
      <c r="AC225" t="n">
        <v>3</v>
      </c>
      <c r="AD225" t="n">
        <v>1</v>
      </c>
      <c r="AE225" t="n">
        <v>1</v>
      </c>
      <c r="AF225" t="n">
        <v>0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0</v>
      </c>
      <c r="AM225" t="n">
        <v>0</v>
      </c>
      <c r="AN225" t="n">
        <v>0</v>
      </c>
      <c r="AO225" t="n">
        <v>0</v>
      </c>
      <c r="AP225" t="n">
        <v>0</v>
      </c>
      <c r="AQ225" t="n">
        <v>0</v>
      </c>
      <c r="AR225" t="inlineStr">
        <is>
          <t>No</t>
        </is>
      </c>
      <c r="AS225" t="inlineStr">
        <is>
          <t>No</t>
        </is>
      </c>
      <c r="AU225">
        <f>HYPERLINK("https://creighton-primo.hosted.exlibrisgroup.com/primo-explore/search?tab=default_tab&amp;search_scope=EVERYTHING&amp;vid=01CRU&amp;lang=en_US&amp;offset=0&amp;query=any,contains,991003699039702656","Catalog Record")</f>
        <v/>
      </c>
      <c r="AV225">
        <f>HYPERLINK("http://www.worldcat.org/oclc/24843429","WorldCat Record")</f>
        <v/>
      </c>
      <c r="AW225" t="inlineStr">
        <is>
          <t>141982332:spa</t>
        </is>
      </c>
      <c r="AX225" t="inlineStr">
        <is>
          <t>24843429</t>
        </is>
      </c>
      <c r="AY225" t="inlineStr">
        <is>
          <t>991003699039702656</t>
        </is>
      </c>
      <c r="AZ225" t="inlineStr">
        <is>
          <t>991003699039702656</t>
        </is>
      </c>
      <c r="BA225" t="inlineStr">
        <is>
          <t>2257995670002656</t>
        </is>
      </c>
      <c r="BB225" t="inlineStr">
        <is>
          <t>BOOK</t>
        </is>
      </c>
      <c r="BE225" t="inlineStr">
        <is>
          <t>32285004428529</t>
        </is>
      </c>
      <c r="BF225" t="inlineStr">
        <is>
          <t>893806107</t>
        </is>
      </c>
    </row>
    <row r="226">
      <c r="A226" t="inlineStr">
        <is>
          <t>No</t>
        </is>
      </c>
      <c r="B226" t="inlineStr">
        <is>
          <t>CURAL</t>
        </is>
      </c>
      <c r="C226" t="inlineStr">
        <is>
          <t>SHELVES</t>
        </is>
      </c>
      <c r="D226" t="inlineStr">
        <is>
          <t>PQ2625.A716 R66 1994</t>
        </is>
      </c>
      <c r="E226" t="inlineStr">
        <is>
          <t>0                      PQ 2625000A  716                R  66          1994</t>
        </is>
      </c>
      <c r="F226" t="inlineStr">
        <is>
          <t>André Malraux : a reference guide, 1940-1990 / John B. Romeiser.</t>
        </is>
      </c>
      <c r="H226" t="inlineStr">
        <is>
          <t>No</t>
        </is>
      </c>
      <c r="I226" t="inlineStr">
        <is>
          <t>1</t>
        </is>
      </c>
      <c r="J226" t="inlineStr">
        <is>
          <t>No</t>
        </is>
      </c>
      <c r="K226" t="inlineStr">
        <is>
          <t>No</t>
        </is>
      </c>
      <c r="L226" t="inlineStr">
        <is>
          <t>0</t>
        </is>
      </c>
      <c r="M226" t="inlineStr">
        <is>
          <t>Romeiser, John Beals, 1948-</t>
        </is>
      </c>
      <c r="N226" t="inlineStr">
        <is>
          <t>New York : G.K. Hall &amp; Co. ; Toronto : Maxwell Macmillan Canada ; New York : Maxwell Macmillan International, c1994.</t>
        </is>
      </c>
      <c r="O226" t="inlineStr">
        <is>
          <t>1994</t>
        </is>
      </c>
      <c r="Q226" t="inlineStr">
        <is>
          <t>eng</t>
        </is>
      </c>
      <c r="R226" t="inlineStr">
        <is>
          <t>nyu</t>
        </is>
      </c>
      <c r="S226" t="inlineStr">
        <is>
          <t>A reference publication in literature</t>
        </is>
      </c>
      <c r="T226" t="inlineStr">
        <is>
          <t xml:space="preserve">PQ </t>
        </is>
      </c>
      <c r="U226" t="n">
        <v>1</v>
      </c>
      <c r="V226" t="n">
        <v>1</v>
      </c>
      <c r="W226" t="inlineStr">
        <is>
          <t>1996-09-17</t>
        </is>
      </c>
      <c r="X226" t="inlineStr">
        <is>
          <t>1996-09-17</t>
        </is>
      </c>
      <c r="Y226" t="inlineStr">
        <is>
          <t>1996-04-24</t>
        </is>
      </c>
      <c r="Z226" t="inlineStr">
        <is>
          <t>1996-04-24</t>
        </is>
      </c>
      <c r="AA226" t="n">
        <v>234</v>
      </c>
      <c r="AB226" t="n">
        <v>188</v>
      </c>
      <c r="AC226" t="n">
        <v>195</v>
      </c>
      <c r="AD226" t="n">
        <v>3</v>
      </c>
      <c r="AE226" t="n">
        <v>3</v>
      </c>
      <c r="AF226" t="n">
        <v>9</v>
      </c>
      <c r="AG226" t="n">
        <v>9</v>
      </c>
      <c r="AH226" t="n">
        <v>0</v>
      </c>
      <c r="AI226" t="n">
        <v>0</v>
      </c>
      <c r="AJ226" t="n">
        <v>3</v>
      </c>
      <c r="AK226" t="n">
        <v>3</v>
      </c>
      <c r="AL226" t="n">
        <v>5</v>
      </c>
      <c r="AM226" t="n">
        <v>5</v>
      </c>
      <c r="AN226" t="n">
        <v>2</v>
      </c>
      <c r="AO226" t="n">
        <v>2</v>
      </c>
      <c r="AP226" t="n">
        <v>0</v>
      </c>
      <c r="AQ226" t="n">
        <v>0</v>
      </c>
      <c r="AR226" t="inlineStr">
        <is>
          <t>No</t>
        </is>
      </c>
      <c r="AS226" t="inlineStr">
        <is>
          <t>Yes</t>
        </is>
      </c>
      <c r="AT226">
        <f>HYPERLINK("http://catalog.hathitrust.org/Record/002895914","HathiTrust Record")</f>
        <v/>
      </c>
      <c r="AU226">
        <f>HYPERLINK("https://creighton-primo.hosted.exlibrisgroup.com/primo-explore/search?tab=default_tab&amp;search_scope=EVERYTHING&amp;vid=01CRU&amp;lang=en_US&amp;offset=0&amp;query=any,contains,991002283819702656","Catalog Record")</f>
        <v/>
      </c>
      <c r="AV226">
        <f>HYPERLINK("http://www.worldcat.org/oclc/29600819","WorldCat Record")</f>
        <v/>
      </c>
      <c r="AW226" t="inlineStr">
        <is>
          <t>905801565:eng</t>
        </is>
      </c>
      <c r="AX226" t="inlineStr">
        <is>
          <t>29600819</t>
        </is>
      </c>
      <c r="AY226" t="inlineStr">
        <is>
          <t>991002283819702656</t>
        </is>
      </c>
      <c r="AZ226" t="inlineStr">
        <is>
          <t>991002283819702656</t>
        </is>
      </c>
      <c r="BA226" t="inlineStr">
        <is>
          <t>2272229370002656</t>
        </is>
      </c>
      <c r="BB226" t="inlineStr">
        <is>
          <t>BOOK</t>
        </is>
      </c>
      <c r="BD226" t="inlineStr">
        <is>
          <t>9780816190713</t>
        </is>
      </c>
      <c r="BE226" t="inlineStr">
        <is>
          <t>32285002156692</t>
        </is>
      </c>
      <c r="BF226" t="inlineStr">
        <is>
          <t>893903803</t>
        </is>
      </c>
    </row>
    <row r="227">
      <c r="A227" t="inlineStr">
        <is>
          <t>No</t>
        </is>
      </c>
      <c r="B227" t="inlineStr">
        <is>
          <t>CURAL</t>
        </is>
      </c>
      <c r="C227" t="inlineStr">
        <is>
          <t>SHELVES</t>
        </is>
      </c>
      <c r="D227" t="inlineStr">
        <is>
          <t>PQ2625.A74 B3</t>
        </is>
      </c>
      <c r="E227" t="inlineStr">
        <is>
          <t>0                      PQ 2625000A  74                 B  3</t>
        </is>
      </c>
      <c r="F227" t="inlineStr">
        <is>
          <t>Batouala; a true Black novel. [Translated by Barbara Beck and Alexandre Mboukou]</t>
        </is>
      </c>
      <c r="H227" t="inlineStr">
        <is>
          <t>No</t>
        </is>
      </c>
      <c r="I227" t="inlineStr">
        <is>
          <t>1</t>
        </is>
      </c>
      <c r="J227" t="inlineStr">
        <is>
          <t>No</t>
        </is>
      </c>
      <c r="K227" t="inlineStr">
        <is>
          <t>No</t>
        </is>
      </c>
      <c r="L227" t="inlineStr">
        <is>
          <t>0</t>
        </is>
      </c>
      <c r="M227" t="inlineStr">
        <is>
          <t>Maran, René, 1887-1960.</t>
        </is>
      </c>
      <c r="N227" t="inlineStr">
        <is>
          <t>Washington, Black Orpheus Press, 1972.</t>
        </is>
      </c>
      <c r="O227" t="inlineStr">
        <is>
          <t>1972</t>
        </is>
      </c>
      <c r="Q227" t="inlineStr">
        <is>
          <t>eng</t>
        </is>
      </c>
      <c r="R227" t="inlineStr">
        <is>
          <t>dcu</t>
        </is>
      </c>
      <c r="S227" t="inlineStr">
        <is>
          <t>Dimensions of the Black intellectual experience</t>
        </is>
      </c>
      <c r="T227" t="inlineStr">
        <is>
          <t xml:space="preserve">PQ </t>
        </is>
      </c>
      <c r="U227" t="n">
        <v>1</v>
      </c>
      <c r="V227" t="n">
        <v>1</v>
      </c>
      <c r="W227" t="inlineStr">
        <is>
          <t>2000-09-08</t>
        </is>
      </c>
      <c r="X227" t="inlineStr">
        <is>
          <t>2000-09-08</t>
        </is>
      </c>
      <c r="Y227" t="inlineStr">
        <is>
          <t>1997-06-02</t>
        </is>
      </c>
      <c r="Z227" t="inlineStr">
        <is>
          <t>1997-06-02</t>
        </is>
      </c>
      <c r="AA227" t="n">
        <v>526</v>
      </c>
      <c r="AB227" t="n">
        <v>498</v>
      </c>
      <c r="AC227" t="n">
        <v>838</v>
      </c>
      <c r="AD227" t="n">
        <v>4</v>
      </c>
      <c r="AE227" t="n">
        <v>7</v>
      </c>
      <c r="AF227" t="n">
        <v>21</v>
      </c>
      <c r="AG227" t="n">
        <v>37</v>
      </c>
      <c r="AH227" t="n">
        <v>7</v>
      </c>
      <c r="AI227" t="n">
        <v>13</v>
      </c>
      <c r="AJ227" t="n">
        <v>6</v>
      </c>
      <c r="AK227" t="n">
        <v>9</v>
      </c>
      <c r="AL227" t="n">
        <v>10</v>
      </c>
      <c r="AM227" t="n">
        <v>17</v>
      </c>
      <c r="AN227" t="n">
        <v>3</v>
      </c>
      <c r="AO227" t="n">
        <v>6</v>
      </c>
      <c r="AP227" t="n">
        <v>0</v>
      </c>
      <c r="AQ227" t="n">
        <v>0</v>
      </c>
      <c r="AR227" t="inlineStr">
        <is>
          <t>No</t>
        </is>
      </c>
      <c r="AS227" t="inlineStr">
        <is>
          <t>Yes</t>
        </is>
      </c>
      <c r="AT227">
        <f>HYPERLINK("http://catalog.hathitrust.org/Record/001225288","HathiTrust Record")</f>
        <v/>
      </c>
      <c r="AU227">
        <f>HYPERLINK("https://creighton-primo.hosted.exlibrisgroup.com/primo-explore/search?tab=default_tab&amp;search_scope=EVERYTHING&amp;vid=01CRU&amp;lang=en_US&amp;offset=0&amp;query=any,contains,991002333919702656","Catalog Record")</f>
        <v/>
      </c>
      <c r="AV227">
        <f>HYPERLINK("http://www.worldcat.org/oclc/322693","WorldCat Record")</f>
        <v/>
      </c>
      <c r="AW227" t="inlineStr">
        <is>
          <t>3943289314:eng</t>
        </is>
      </c>
      <c r="AX227" t="inlineStr">
        <is>
          <t>322693</t>
        </is>
      </c>
      <c r="AY227" t="inlineStr">
        <is>
          <t>991002333919702656</t>
        </is>
      </c>
      <c r="AZ227" t="inlineStr">
        <is>
          <t>991002333919702656</t>
        </is>
      </c>
      <c r="BA227" t="inlineStr">
        <is>
          <t>2257090160002656</t>
        </is>
      </c>
      <c r="BB227" t="inlineStr">
        <is>
          <t>BOOK</t>
        </is>
      </c>
      <c r="BD227" t="inlineStr">
        <is>
          <t>9780087953000</t>
        </is>
      </c>
      <c r="BE227" t="inlineStr">
        <is>
          <t>32285002795127</t>
        </is>
      </c>
      <c r="BF227" t="inlineStr">
        <is>
          <t>893322811</t>
        </is>
      </c>
    </row>
    <row r="228">
      <c r="A228" t="inlineStr">
        <is>
          <t>No</t>
        </is>
      </c>
      <c r="B228" t="inlineStr">
        <is>
          <t>CURAL</t>
        </is>
      </c>
      <c r="C228" t="inlineStr">
        <is>
          <t>SHELVES</t>
        </is>
      </c>
      <c r="D228" t="inlineStr">
        <is>
          <t>PQ2625.A78739 G715 1945</t>
        </is>
      </c>
      <c r="E228" t="inlineStr">
        <is>
          <t>0                      PQ 2625000A  78739              G  715         1945</t>
        </is>
      </c>
      <c r="F228" t="inlineStr">
        <is>
          <t>Adventures in grace : sequel to We have been friends together / by Raïssa Maritain ; translated by Julie Kernan.</t>
        </is>
      </c>
      <c r="H228" t="inlineStr">
        <is>
          <t>No</t>
        </is>
      </c>
      <c r="I228" t="inlineStr">
        <is>
          <t>1</t>
        </is>
      </c>
      <c r="J228" t="inlineStr">
        <is>
          <t>No</t>
        </is>
      </c>
      <c r="K228" t="inlineStr">
        <is>
          <t>No</t>
        </is>
      </c>
      <c r="L228" t="inlineStr">
        <is>
          <t>0</t>
        </is>
      </c>
      <c r="M228" t="inlineStr">
        <is>
          <t>Maritain, Raïssa.</t>
        </is>
      </c>
      <c r="N228" t="inlineStr">
        <is>
          <t>New York : Catholic Book Club, 1945.</t>
        </is>
      </c>
      <c r="O228" t="inlineStr">
        <is>
          <t>1945</t>
        </is>
      </c>
      <c r="Q228" t="inlineStr">
        <is>
          <t>eng</t>
        </is>
      </c>
      <c r="R228" t="inlineStr">
        <is>
          <t>nyu</t>
        </is>
      </c>
      <c r="S228" t="inlineStr">
        <is>
          <t>Golden measure books</t>
        </is>
      </c>
      <c r="T228" t="inlineStr">
        <is>
          <t xml:space="preserve">PQ </t>
        </is>
      </c>
      <c r="U228" t="n">
        <v>2</v>
      </c>
      <c r="V228" t="n">
        <v>2</v>
      </c>
      <c r="W228" t="inlineStr">
        <is>
          <t>1996-04-11</t>
        </is>
      </c>
      <c r="X228" t="inlineStr">
        <is>
          <t>1996-04-11</t>
        </is>
      </c>
      <c r="Y228" t="inlineStr">
        <is>
          <t>1991-05-14</t>
        </is>
      </c>
      <c r="Z228" t="inlineStr">
        <is>
          <t>1991-05-14</t>
        </is>
      </c>
      <c r="AA228" t="n">
        <v>39</v>
      </c>
      <c r="AB228" t="n">
        <v>36</v>
      </c>
      <c r="AC228" t="n">
        <v>36</v>
      </c>
      <c r="AD228" t="n">
        <v>1</v>
      </c>
      <c r="AE228" t="n">
        <v>1</v>
      </c>
      <c r="AF228" t="n">
        <v>9</v>
      </c>
      <c r="AG228" t="n">
        <v>9</v>
      </c>
      <c r="AH228" t="n">
        <v>3</v>
      </c>
      <c r="AI228" t="n">
        <v>3</v>
      </c>
      <c r="AJ228" t="n">
        <v>2</v>
      </c>
      <c r="AK228" t="n">
        <v>2</v>
      </c>
      <c r="AL228" t="n">
        <v>6</v>
      </c>
      <c r="AM228" t="n">
        <v>6</v>
      </c>
      <c r="AN228" t="n">
        <v>0</v>
      </c>
      <c r="AO228" t="n">
        <v>0</v>
      </c>
      <c r="AP228" t="n">
        <v>0</v>
      </c>
      <c r="AQ228" t="n">
        <v>0</v>
      </c>
      <c r="AR228" t="inlineStr">
        <is>
          <t>No</t>
        </is>
      </c>
      <c r="AS228" t="inlineStr">
        <is>
          <t>No</t>
        </is>
      </c>
      <c r="AU228">
        <f>HYPERLINK("https://creighton-primo.hosted.exlibrisgroup.com/primo-explore/search?tab=default_tab&amp;search_scope=EVERYTHING&amp;vid=01CRU&amp;lang=en_US&amp;offset=0&amp;query=any,contains,991004826749702656","Catalog Record")</f>
        <v/>
      </c>
      <c r="AV228">
        <f>HYPERLINK("http://www.worldcat.org/oclc/5357550","WorldCat Record")</f>
        <v/>
      </c>
      <c r="AW228" t="inlineStr">
        <is>
          <t>10677961960:eng</t>
        </is>
      </c>
      <c r="AX228" t="inlineStr">
        <is>
          <t>5357550</t>
        </is>
      </c>
      <c r="AY228" t="inlineStr">
        <is>
          <t>991004826749702656</t>
        </is>
      </c>
      <c r="AZ228" t="inlineStr">
        <is>
          <t>991004826749702656</t>
        </is>
      </c>
      <c r="BA228" t="inlineStr">
        <is>
          <t>2257058270002656</t>
        </is>
      </c>
      <c r="BB228" t="inlineStr">
        <is>
          <t>BOOK</t>
        </is>
      </c>
      <c r="BE228" t="inlineStr">
        <is>
          <t>32285000604420</t>
        </is>
      </c>
      <c r="BF228" t="inlineStr">
        <is>
          <t>893782701</t>
        </is>
      </c>
    </row>
    <row r="229">
      <c r="A229" t="inlineStr">
        <is>
          <t>No</t>
        </is>
      </c>
      <c r="B229" t="inlineStr">
        <is>
          <t>CURAL</t>
        </is>
      </c>
      <c r="C229" t="inlineStr">
        <is>
          <t>SHELVES</t>
        </is>
      </c>
      <c r="D229" t="inlineStr">
        <is>
          <t>PQ2625.A925 A78</t>
        </is>
      </c>
      <c r="E229" t="inlineStr">
        <is>
          <t>0                      PQ 2625000A  925                A  78</t>
        </is>
      </c>
      <c r="F229" t="inlineStr">
        <is>
          <t>Anastasia / English adaptation by Guy Bolton.</t>
        </is>
      </c>
      <c r="H229" t="inlineStr">
        <is>
          <t>No</t>
        </is>
      </c>
      <c r="I229" t="inlineStr">
        <is>
          <t>1</t>
        </is>
      </c>
      <c r="J229" t="inlineStr">
        <is>
          <t>No</t>
        </is>
      </c>
      <c r="K229" t="inlineStr">
        <is>
          <t>No</t>
        </is>
      </c>
      <c r="L229" t="inlineStr">
        <is>
          <t>0</t>
        </is>
      </c>
      <c r="M229" t="inlineStr">
        <is>
          <t>Marcelle-Maurette.</t>
        </is>
      </c>
      <c r="N229" t="inlineStr">
        <is>
          <t>New York, Random House [1955]</t>
        </is>
      </c>
      <c r="O229" t="inlineStr">
        <is>
          <t>1955</t>
        </is>
      </c>
      <c r="Q229" t="inlineStr">
        <is>
          <t>eng</t>
        </is>
      </c>
      <c r="R229" t="inlineStr">
        <is>
          <t>nyu</t>
        </is>
      </c>
      <c r="S229" t="inlineStr">
        <is>
          <t>A Random House play</t>
        </is>
      </c>
      <c r="T229" t="inlineStr">
        <is>
          <t xml:space="preserve">PQ </t>
        </is>
      </c>
      <c r="U229" t="n">
        <v>0</v>
      </c>
      <c r="V229" t="n">
        <v>0</v>
      </c>
      <c r="W229" t="inlineStr">
        <is>
          <t>2003-05-08</t>
        </is>
      </c>
      <c r="X229" t="inlineStr">
        <is>
          <t>2003-05-08</t>
        </is>
      </c>
      <c r="Y229" t="inlineStr">
        <is>
          <t>1997-12-30</t>
        </is>
      </c>
      <c r="Z229" t="inlineStr">
        <is>
          <t>1997-12-30</t>
        </is>
      </c>
      <c r="AA229" t="n">
        <v>524</v>
      </c>
      <c r="AB229" t="n">
        <v>511</v>
      </c>
      <c r="AC229" t="n">
        <v>793</v>
      </c>
      <c r="AD229" t="n">
        <v>4</v>
      </c>
      <c r="AE229" t="n">
        <v>5</v>
      </c>
      <c r="AF229" t="n">
        <v>22</v>
      </c>
      <c r="AG229" t="n">
        <v>31</v>
      </c>
      <c r="AH229" t="n">
        <v>11</v>
      </c>
      <c r="AI229" t="n">
        <v>16</v>
      </c>
      <c r="AJ229" t="n">
        <v>4</v>
      </c>
      <c r="AK229" t="n">
        <v>5</v>
      </c>
      <c r="AL229" t="n">
        <v>8</v>
      </c>
      <c r="AM229" t="n">
        <v>12</v>
      </c>
      <c r="AN229" t="n">
        <v>3</v>
      </c>
      <c r="AO229" t="n">
        <v>4</v>
      </c>
      <c r="AP229" t="n">
        <v>0</v>
      </c>
      <c r="AQ229" t="n">
        <v>0</v>
      </c>
      <c r="AR229" t="inlineStr">
        <is>
          <t>No</t>
        </is>
      </c>
      <c r="AS229" t="inlineStr">
        <is>
          <t>No</t>
        </is>
      </c>
      <c r="AT229">
        <f>HYPERLINK("http://catalog.hathitrust.org/Record/000130794","HathiTrust Record")</f>
        <v/>
      </c>
      <c r="AU229">
        <f>HYPERLINK("https://creighton-primo.hosted.exlibrisgroup.com/primo-explore/search?tab=default_tab&amp;search_scope=EVERYTHING&amp;vid=01CRU&amp;lang=en_US&amp;offset=0&amp;query=any,contains,991002492579702656","Catalog Record")</f>
        <v/>
      </c>
      <c r="AV229">
        <f>HYPERLINK("http://www.worldcat.org/oclc/362909","WorldCat Record")</f>
        <v/>
      </c>
      <c r="AW229" t="inlineStr">
        <is>
          <t>4663506051:eng</t>
        </is>
      </c>
      <c r="AX229" t="inlineStr">
        <is>
          <t>362909</t>
        </is>
      </c>
      <c r="AY229" t="inlineStr">
        <is>
          <t>991002492579702656</t>
        </is>
      </c>
      <c r="AZ229" t="inlineStr">
        <is>
          <t>991002492579702656</t>
        </is>
      </c>
      <c r="BA229" t="inlineStr">
        <is>
          <t>2262473650002656</t>
        </is>
      </c>
      <c r="BB229" t="inlineStr">
        <is>
          <t>BOOK</t>
        </is>
      </c>
      <c r="BE229" t="inlineStr">
        <is>
          <t>32285003294161</t>
        </is>
      </c>
      <c r="BF229" t="inlineStr">
        <is>
          <t>893523673</t>
        </is>
      </c>
    </row>
    <row r="230">
      <c r="A230" t="inlineStr">
        <is>
          <t>No</t>
        </is>
      </c>
      <c r="B230" t="inlineStr">
        <is>
          <t>CURAL</t>
        </is>
      </c>
      <c r="C230" t="inlineStr">
        <is>
          <t>SHELVES</t>
        </is>
      </c>
      <c r="D230" t="inlineStr">
        <is>
          <t>PQ2625.A93 Z82</t>
        </is>
      </c>
      <c r="E230" t="inlineStr">
        <is>
          <t>0                      PQ 2625000A  93                 Z  82</t>
        </is>
      </c>
      <c r="F230" t="inlineStr">
        <is>
          <t>François Mauriac / by Maxwell A. Smith.</t>
        </is>
      </c>
      <c r="H230" t="inlineStr">
        <is>
          <t>No</t>
        </is>
      </c>
      <c r="I230" t="inlineStr">
        <is>
          <t>1</t>
        </is>
      </c>
      <c r="J230" t="inlineStr">
        <is>
          <t>No</t>
        </is>
      </c>
      <c r="K230" t="inlineStr">
        <is>
          <t>No</t>
        </is>
      </c>
      <c r="L230" t="inlineStr">
        <is>
          <t>0</t>
        </is>
      </c>
      <c r="M230" t="inlineStr">
        <is>
          <t>Smith, Maxwell A. (Maxwell Austin), 1894-</t>
        </is>
      </c>
      <c r="N230" t="inlineStr">
        <is>
          <t>New York : Twayne Publishers, [1970]</t>
        </is>
      </c>
      <c r="O230" t="inlineStr">
        <is>
          <t>1970</t>
        </is>
      </c>
      <c r="Q230" t="inlineStr">
        <is>
          <t>eng</t>
        </is>
      </c>
      <c r="R230" t="inlineStr">
        <is>
          <t>nyu</t>
        </is>
      </c>
      <c r="S230" t="inlineStr">
        <is>
          <t>Twayne's world authors series. TWAS 106: French</t>
        </is>
      </c>
      <c r="T230" t="inlineStr">
        <is>
          <t xml:space="preserve">PQ </t>
        </is>
      </c>
      <c r="U230" t="n">
        <v>1</v>
      </c>
      <c r="V230" t="n">
        <v>1</v>
      </c>
      <c r="W230" t="inlineStr">
        <is>
          <t>1994-04-13</t>
        </is>
      </c>
      <c r="X230" t="inlineStr">
        <is>
          <t>1994-04-13</t>
        </is>
      </c>
      <c r="Y230" t="inlineStr">
        <is>
          <t>1991-12-23</t>
        </is>
      </c>
      <c r="Z230" t="inlineStr">
        <is>
          <t>1991-12-23</t>
        </is>
      </c>
      <c r="AA230" t="n">
        <v>774</v>
      </c>
      <c r="AB230" t="n">
        <v>705</v>
      </c>
      <c r="AC230" t="n">
        <v>880</v>
      </c>
      <c r="AD230" t="n">
        <v>7</v>
      </c>
      <c r="AE230" t="n">
        <v>9</v>
      </c>
      <c r="AF230" t="n">
        <v>30</v>
      </c>
      <c r="AG230" t="n">
        <v>37</v>
      </c>
      <c r="AH230" t="n">
        <v>9</v>
      </c>
      <c r="AI230" t="n">
        <v>13</v>
      </c>
      <c r="AJ230" t="n">
        <v>7</v>
      </c>
      <c r="AK230" t="n">
        <v>7</v>
      </c>
      <c r="AL230" t="n">
        <v>15</v>
      </c>
      <c r="AM230" t="n">
        <v>18</v>
      </c>
      <c r="AN230" t="n">
        <v>5</v>
      </c>
      <c r="AO230" t="n">
        <v>7</v>
      </c>
      <c r="AP230" t="n">
        <v>0</v>
      </c>
      <c r="AQ230" t="n">
        <v>0</v>
      </c>
      <c r="AR230" t="inlineStr">
        <is>
          <t>No</t>
        </is>
      </c>
      <c r="AS230" t="inlineStr">
        <is>
          <t>Yes</t>
        </is>
      </c>
      <c r="AT230">
        <f>HYPERLINK("http://catalog.hathitrust.org/Record/001213553","HathiTrust Record")</f>
        <v/>
      </c>
      <c r="AU230">
        <f>HYPERLINK("https://creighton-primo.hosted.exlibrisgroup.com/primo-explore/search?tab=default_tab&amp;search_scope=EVERYTHING&amp;vid=01CRU&amp;lang=en_US&amp;offset=0&amp;query=any,contains,991003574679702656","Catalog Record")</f>
        <v/>
      </c>
      <c r="AV230">
        <f>HYPERLINK("http://www.worldcat.org/oclc/1151678","WorldCat Record")</f>
        <v/>
      </c>
      <c r="AW230" t="inlineStr">
        <is>
          <t>2081309:eng</t>
        </is>
      </c>
      <c r="AX230" t="inlineStr">
        <is>
          <t>1151678</t>
        </is>
      </c>
      <c r="AY230" t="inlineStr">
        <is>
          <t>991003574679702656</t>
        </is>
      </c>
      <c r="AZ230" t="inlineStr">
        <is>
          <t>991003574679702656</t>
        </is>
      </c>
      <c r="BA230" t="inlineStr">
        <is>
          <t>2267997050002656</t>
        </is>
      </c>
      <c r="BB230" t="inlineStr">
        <is>
          <t>BOOK</t>
        </is>
      </c>
      <c r="BE230" t="inlineStr">
        <is>
          <t>32285000881077</t>
        </is>
      </c>
      <c r="BF230" t="inlineStr">
        <is>
          <t>893262813</t>
        </is>
      </c>
    </row>
    <row r="231">
      <c r="A231" t="inlineStr">
        <is>
          <t>No</t>
        </is>
      </c>
      <c r="B231" t="inlineStr">
        <is>
          <t>CURAL</t>
        </is>
      </c>
      <c r="C231" t="inlineStr">
        <is>
          <t>SHELVES</t>
        </is>
      </c>
      <c r="D231" t="inlineStr">
        <is>
          <t>PQ2625.O45 A15 1959</t>
        </is>
      </c>
      <c r="E231" t="inlineStr">
        <is>
          <t>0                      PQ 2625000O  45                 A  15          1959</t>
        </is>
      </c>
      <c r="F231" t="inlineStr">
        <is>
          <t>Romans et œuvres de fiction non théâtrales / Montherlant ; préface de Roger Secrétain.</t>
        </is>
      </c>
      <c r="G231" t="inlineStr">
        <is>
          <t>V.1</t>
        </is>
      </c>
      <c r="H231" t="inlineStr">
        <is>
          <t>Yes</t>
        </is>
      </c>
      <c r="I231" t="inlineStr">
        <is>
          <t>1</t>
        </is>
      </c>
      <c r="J231" t="inlineStr">
        <is>
          <t>No</t>
        </is>
      </c>
      <c r="K231" t="inlineStr">
        <is>
          <t>No</t>
        </is>
      </c>
      <c r="L231" t="inlineStr">
        <is>
          <t>0</t>
        </is>
      </c>
      <c r="M231" t="inlineStr">
        <is>
          <t>Montherlant, Henry de, 1896-1972.</t>
        </is>
      </c>
      <c r="N231" t="inlineStr">
        <is>
          <t>[Paris] : Gallimard, c1959-c1982.</t>
        </is>
      </c>
      <c r="O231" t="inlineStr">
        <is>
          <t>1959</t>
        </is>
      </c>
      <c r="Q231" t="inlineStr">
        <is>
          <t>fre</t>
        </is>
      </c>
      <c r="R231" t="inlineStr">
        <is>
          <t xml:space="preserve">fr </t>
        </is>
      </c>
      <c r="S231" t="inlineStr">
        <is>
          <t>Bibliothèque de la Pléiade ; 136, 301</t>
        </is>
      </c>
      <c r="T231" t="inlineStr">
        <is>
          <t xml:space="preserve">PQ </t>
        </is>
      </c>
      <c r="U231" t="n">
        <v>1</v>
      </c>
      <c r="V231" t="n">
        <v>1</v>
      </c>
      <c r="W231" t="inlineStr">
        <is>
          <t>2000-10-10</t>
        </is>
      </c>
      <c r="X231" t="inlineStr">
        <is>
          <t>2000-10-10</t>
        </is>
      </c>
      <c r="Y231" t="inlineStr">
        <is>
          <t>2000-10-10</t>
        </is>
      </c>
      <c r="Z231" t="inlineStr">
        <is>
          <t>2000-10-10</t>
        </is>
      </c>
      <c r="AA231" t="n">
        <v>470</v>
      </c>
      <c r="AB231" t="n">
        <v>407</v>
      </c>
      <c r="AC231" t="n">
        <v>470</v>
      </c>
      <c r="AD231" t="n">
        <v>4</v>
      </c>
      <c r="AE231" t="n">
        <v>4</v>
      </c>
      <c r="AF231" t="n">
        <v>31</v>
      </c>
      <c r="AG231" t="n">
        <v>34</v>
      </c>
      <c r="AH231" t="n">
        <v>11</v>
      </c>
      <c r="AI231" t="n">
        <v>13</v>
      </c>
      <c r="AJ231" t="n">
        <v>9</v>
      </c>
      <c r="AK231" t="n">
        <v>9</v>
      </c>
      <c r="AL231" t="n">
        <v>14</v>
      </c>
      <c r="AM231" t="n">
        <v>16</v>
      </c>
      <c r="AN231" t="n">
        <v>3</v>
      </c>
      <c r="AO231" t="n">
        <v>3</v>
      </c>
      <c r="AP231" t="n">
        <v>0</v>
      </c>
      <c r="AQ231" t="n">
        <v>0</v>
      </c>
      <c r="AR231" t="inlineStr">
        <is>
          <t>No</t>
        </is>
      </c>
      <c r="AS231" t="inlineStr">
        <is>
          <t>Yes</t>
        </is>
      </c>
      <c r="AT231">
        <f>HYPERLINK("http://catalog.hathitrust.org/Record/001214052","HathiTrust Record")</f>
        <v/>
      </c>
      <c r="AU231">
        <f>HYPERLINK("https://creighton-primo.hosted.exlibrisgroup.com/primo-explore/search?tab=default_tab&amp;search_scope=EVERYTHING&amp;vid=01CRU&amp;lang=en_US&amp;offset=0&amp;query=any,contains,991003306859702656","Catalog Record")</f>
        <v/>
      </c>
      <c r="AV231">
        <f>HYPERLINK("http://www.worldcat.org/oclc/255037","WorldCat Record")</f>
        <v/>
      </c>
      <c r="AW231" t="inlineStr">
        <is>
          <t>149296944:fre</t>
        </is>
      </c>
      <c r="AX231" t="inlineStr">
        <is>
          <t>255037</t>
        </is>
      </c>
      <c r="AY231" t="inlineStr">
        <is>
          <t>991003306859702656</t>
        </is>
      </c>
      <c r="AZ231" t="inlineStr">
        <is>
          <t>991003306859702656</t>
        </is>
      </c>
      <c r="BA231" t="inlineStr">
        <is>
          <t>2270832190002656</t>
        </is>
      </c>
      <c r="BB231" t="inlineStr">
        <is>
          <t>BOOK</t>
        </is>
      </c>
      <c r="BD231" t="inlineStr">
        <is>
          <t>9782070110056</t>
        </is>
      </c>
      <c r="BE231" t="inlineStr">
        <is>
          <t>32285003767539</t>
        </is>
      </c>
      <c r="BF231" t="inlineStr">
        <is>
          <t>893711244</t>
        </is>
      </c>
    </row>
    <row r="232">
      <c r="A232" t="inlineStr">
        <is>
          <t>No</t>
        </is>
      </c>
      <c r="B232" t="inlineStr">
        <is>
          <t>CURAL</t>
        </is>
      </c>
      <c r="C232" t="inlineStr">
        <is>
          <t>SHELVES</t>
        </is>
      </c>
      <c r="D232" t="inlineStr">
        <is>
          <t>PQ2631.A26 E2</t>
        </is>
      </c>
      <c r="E232" t="inlineStr">
        <is>
          <t>0                      PQ 2631000A  26                 E  2</t>
        </is>
      </c>
      <c r="F232" t="inlineStr">
        <is>
          <t>L'eau des collines / Marcel Pagnol.</t>
        </is>
      </c>
      <c r="G232" t="inlineStr">
        <is>
          <t>V.1</t>
        </is>
      </c>
      <c r="H232" t="inlineStr">
        <is>
          <t>Yes</t>
        </is>
      </c>
      <c r="I232" t="inlineStr">
        <is>
          <t>1</t>
        </is>
      </c>
      <c r="J232" t="inlineStr">
        <is>
          <t>No</t>
        </is>
      </c>
      <c r="K232" t="inlineStr">
        <is>
          <t>No</t>
        </is>
      </c>
      <c r="L232" t="inlineStr">
        <is>
          <t>0</t>
        </is>
      </c>
      <c r="M232" t="inlineStr">
        <is>
          <t>Pagnol, Marcel, 1895-1974.</t>
        </is>
      </c>
      <c r="N232" t="inlineStr">
        <is>
          <t>Paris : Éditions de Provence, [1962-63]</t>
        </is>
      </c>
      <c r="O232" t="inlineStr">
        <is>
          <t>1962</t>
        </is>
      </c>
      <c r="Q232" t="inlineStr">
        <is>
          <t>fre</t>
        </is>
      </c>
      <c r="R232" t="inlineStr">
        <is>
          <t xml:space="preserve">fr </t>
        </is>
      </c>
      <c r="T232" t="inlineStr">
        <is>
          <t xml:space="preserve">PQ </t>
        </is>
      </c>
      <c r="U232" t="n">
        <v>1</v>
      </c>
      <c r="V232" t="n">
        <v>2</v>
      </c>
      <c r="W232" t="inlineStr">
        <is>
          <t>2003-08-02</t>
        </is>
      </c>
      <c r="X232" t="inlineStr">
        <is>
          <t>2003-08-02</t>
        </is>
      </c>
      <c r="Y232" t="inlineStr">
        <is>
          <t>1993-01-26</t>
        </is>
      </c>
      <c r="Z232" t="inlineStr">
        <is>
          <t>1995-08-28</t>
        </is>
      </c>
      <c r="AA232" t="n">
        <v>80</v>
      </c>
      <c r="AB232" t="n">
        <v>72</v>
      </c>
      <c r="AC232" t="n">
        <v>199</v>
      </c>
      <c r="AD232" t="n">
        <v>1</v>
      </c>
      <c r="AE232" t="n">
        <v>2</v>
      </c>
      <c r="AF232" t="n">
        <v>3</v>
      </c>
      <c r="AG232" t="n">
        <v>6</v>
      </c>
      <c r="AH232" t="n">
        <v>0</v>
      </c>
      <c r="AI232" t="n">
        <v>0</v>
      </c>
      <c r="AJ232" t="n">
        <v>0</v>
      </c>
      <c r="AK232" t="n">
        <v>0</v>
      </c>
      <c r="AL232" t="n">
        <v>3</v>
      </c>
      <c r="AM232" t="n">
        <v>5</v>
      </c>
      <c r="AN232" t="n">
        <v>0</v>
      </c>
      <c r="AO232" t="n">
        <v>1</v>
      </c>
      <c r="AP232" t="n">
        <v>0</v>
      </c>
      <c r="AQ232" t="n">
        <v>0</v>
      </c>
      <c r="AR232" t="inlineStr">
        <is>
          <t>No</t>
        </is>
      </c>
      <c r="AS232" t="inlineStr">
        <is>
          <t>No</t>
        </is>
      </c>
      <c r="AU232">
        <f>HYPERLINK("https://creighton-primo.hosted.exlibrisgroup.com/primo-explore/search?tab=default_tab&amp;search_scope=EVERYTHING&amp;vid=01CRU&amp;lang=en_US&amp;offset=0&amp;query=any,contains,991004200929702656","Catalog Record")</f>
        <v/>
      </c>
      <c r="AV232">
        <f>HYPERLINK("http://www.worldcat.org/oclc/2652973","WorldCat Record")</f>
        <v/>
      </c>
      <c r="AW232" t="inlineStr">
        <is>
          <t>3772461683:fre</t>
        </is>
      </c>
      <c r="AX232" t="inlineStr">
        <is>
          <t>2652973</t>
        </is>
      </c>
      <c r="AY232" t="inlineStr">
        <is>
          <t>991004200929702656</t>
        </is>
      </c>
      <c r="AZ232" t="inlineStr">
        <is>
          <t>991004200929702656</t>
        </is>
      </c>
      <c r="BA232" t="inlineStr">
        <is>
          <t>2258193840002656</t>
        </is>
      </c>
      <c r="BB232" t="inlineStr">
        <is>
          <t>BOOK</t>
        </is>
      </c>
      <c r="BE232" t="inlineStr">
        <is>
          <t>32285001477594</t>
        </is>
      </c>
      <c r="BF232" t="inlineStr">
        <is>
          <t>893628027</t>
        </is>
      </c>
    </row>
    <row r="233">
      <c r="A233" t="inlineStr">
        <is>
          <t>No</t>
        </is>
      </c>
      <c r="B233" t="inlineStr">
        <is>
          <t>CURAL</t>
        </is>
      </c>
      <c r="C233" t="inlineStr">
        <is>
          <t>SHELVES</t>
        </is>
      </c>
      <c r="D233" t="inlineStr">
        <is>
          <t>PQ2631.A26 E2</t>
        </is>
      </c>
      <c r="E233" t="inlineStr">
        <is>
          <t>0                      PQ 2631000A  26                 E  2</t>
        </is>
      </c>
      <c r="F233" t="inlineStr">
        <is>
          <t>L'eau des collines / Marcel Pagnol.</t>
        </is>
      </c>
      <c r="G233" t="inlineStr">
        <is>
          <t>V.2</t>
        </is>
      </c>
      <c r="H233" t="inlineStr">
        <is>
          <t>Yes</t>
        </is>
      </c>
      <c r="I233" t="inlineStr">
        <is>
          <t>1</t>
        </is>
      </c>
      <c r="J233" t="inlineStr">
        <is>
          <t>No</t>
        </is>
      </c>
      <c r="K233" t="inlineStr">
        <is>
          <t>No</t>
        </is>
      </c>
      <c r="L233" t="inlineStr">
        <is>
          <t>0</t>
        </is>
      </c>
      <c r="M233" t="inlineStr">
        <is>
          <t>Pagnol, Marcel, 1895-1974.</t>
        </is>
      </c>
      <c r="N233" t="inlineStr">
        <is>
          <t>Paris : Éditions de Provence, [1962-63]</t>
        </is>
      </c>
      <c r="O233" t="inlineStr">
        <is>
          <t>1962</t>
        </is>
      </c>
      <c r="Q233" t="inlineStr">
        <is>
          <t>fre</t>
        </is>
      </c>
      <c r="R233" t="inlineStr">
        <is>
          <t xml:space="preserve">fr </t>
        </is>
      </c>
      <c r="T233" t="inlineStr">
        <is>
          <t xml:space="preserve">PQ </t>
        </is>
      </c>
      <c r="U233" t="n">
        <v>1</v>
      </c>
      <c r="V233" t="n">
        <v>2</v>
      </c>
      <c r="W233" t="inlineStr">
        <is>
          <t>2003-08-02</t>
        </is>
      </c>
      <c r="X233" t="inlineStr">
        <is>
          <t>2003-08-02</t>
        </is>
      </c>
      <c r="Y233" t="inlineStr">
        <is>
          <t>1995-08-28</t>
        </is>
      </c>
      <c r="Z233" t="inlineStr">
        <is>
          <t>1995-08-28</t>
        </is>
      </c>
      <c r="AA233" t="n">
        <v>80</v>
      </c>
      <c r="AB233" t="n">
        <v>72</v>
      </c>
      <c r="AC233" t="n">
        <v>199</v>
      </c>
      <c r="AD233" t="n">
        <v>1</v>
      </c>
      <c r="AE233" t="n">
        <v>2</v>
      </c>
      <c r="AF233" t="n">
        <v>3</v>
      </c>
      <c r="AG233" t="n">
        <v>6</v>
      </c>
      <c r="AH233" t="n">
        <v>0</v>
      </c>
      <c r="AI233" t="n">
        <v>0</v>
      </c>
      <c r="AJ233" t="n">
        <v>0</v>
      </c>
      <c r="AK233" t="n">
        <v>0</v>
      </c>
      <c r="AL233" t="n">
        <v>3</v>
      </c>
      <c r="AM233" t="n">
        <v>5</v>
      </c>
      <c r="AN233" t="n">
        <v>0</v>
      </c>
      <c r="AO233" t="n">
        <v>1</v>
      </c>
      <c r="AP233" t="n">
        <v>0</v>
      </c>
      <c r="AQ233" t="n">
        <v>0</v>
      </c>
      <c r="AR233" t="inlineStr">
        <is>
          <t>No</t>
        </is>
      </c>
      <c r="AS233" t="inlineStr">
        <is>
          <t>No</t>
        </is>
      </c>
      <c r="AU233">
        <f>HYPERLINK("https://creighton-primo.hosted.exlibrisgroup.com/primo-explore/search?tab=default_tab&amp;search_scope=EVERYTHING&amp;vid=01CRU&amp;lang=en_US&amp;offset=0&amp;query=any,contains,991004200929702656","Catalog Record")</f>
        <v/>
      </c>
      <c r="AV233">
        <f>HYPERLINK("http://www.worldcat.org/oclc/2652973","WorldCat Record")</f>
        <v/>
      </c>
      <c r="AW233" t="inlineStr">
        <is>
          <t>3772461683:fre</t>
        </is>
      </c>
      <c r="AX233" t="inlineStr">
        <is>
          <t>2652973</t>
        </is>
      </c>
      <c r="AY233" t="inlineStr">
        <is>
          <t>991004200929702656</t>
        </is>
      </c>
      <c r="AZ233" t="inlineStr">
        <is>
          <t>991004200929702656</t>
        </is>
      </c>
      <c r="BA233" t="inlineStr">
        <is>
          <t>2258193840002656</t>
        </is>
      </c>
      <c r="BB233" t="inlineStr">
        <is>
          <t>BOOK</t>
        </is>
      </c>
      <c r="BE233" t="inlineStr">
        <is>
          <t>32285002023348</t>
        </is>
      </c>
      <c r="BF233" t="inlineStr">
        <is>
          <t>893618372</t>
        </is>
      </c>
    </row>
    <row r="234">
      <c r="A234" t="inlineStr">
        <is>
          <t>No</t>
        </is>
      </c>
      <c r="B234" t="inlineStr">
        <is>
          <t>CURAL</t>
        </is>
      </c>
      <c r="C234" t="inlineStr">
        <is>
          <t>SHELVES</t>
        </is>
      </c>
      <c r="D234" t="inlineStr">
        <is>
          <t>PQ2631.R387 Z6</t>
        </is>
      </c>
      <c r="E234" t="inlineStr">
        <is>
          <t>0                      PQ 2631000R  387                Z  6</t>
        </is>
      </c>
      <c r="F234" t="inlineStr">
        <is>
          <t>Jacques Prévert, by William E. Baker.</t>
        </is>
      </c>
      <c r="H234" t="inlineStr">
        <is>
          <t>No</t>
        </is>
      </c>
      <c r="I234" t="inlineStr">
        <is>
          <t>1</t>
        </is>
      </c>
      <c r="J234" t="inlineStr">
        <is>
          <t>No</t>
        </is>
      </c>
      <c r="K234" t="inlineStr">
        <is>
          <t>No</t>
        </is>
      </c>
      <c r="L234" t="inlineStr">
        <is>
          <t>0</t>
        </is>
      </c>
      <c r="M234" t="inlineStr">
        <is>
          <t>Baker, Will, 1935-2005.</t>
        </is>
      </c>
      <c r="N234" t="inlineStr">
        <is>
          <t>New York, Twayne Publishers [1967]</t>
        </is>
      </c>
      <c r="O234" t="inlineStr">
        <is>
          <t>1967</t>
        </is>
      </c>
      <c r="Q234" t="inlineStr">
        <is>
          <t>eng</t>
        </is>
      </c>
      <c r="R234" t="inlineStr">
        <is>
          <t>nyu</t>
        </is>
      </c>
      <c r="S234" t="inlineStr">
        <is>
          <t>Twayne's world authors series, 24. France</t>
        </is>
      </c>
      <c r="T234" t="inlineStr">
        <is>
          <t xml:space="preserve">PQ </t>
        </is>
      </c>
      <c r="U234" t="n">
        <v>2</v>
      </c>
      <c r="V234" t="n">
        <v>2</v>
      </c>
      <c r="W234" t="inlineStr">
        <is>
          <t>2003-11-05</t>
        </is>
      </c>
      <c r="X234" t="inlineStr">
        <is>
          <t>2003-11-05</t>
        </is>
      </c>
      <c r="Y234" t="inlineStr">
        <is>
          <t>1997-06-05</t>
        </is>
      </c>
      <c r="Z234" t="inlineStr">
        <is>
          <t>1997-06-05</t>
        </is>
      </c>
      <c r="AA234" t="n">
        <v>725</v>
      </c>
      <c r="AB234" t="n">
        <v>646</v>
      </c>
      <c r="AC234" t="n">
        <v>659</v>
      </c>
      <c r="AD234" t="n">
        <v>5</v>
      </c>
      <c r="AE234" t="n">
        <v>5</v>
      </c>
      <c r="AF234" t="n">
        <v>29</v>
      </c>
      <c r="AG234" t="n">
        <v>30</v>
      </c>
      <c r="AH234" t="n">
        <v>10</v>
      </c>
      <c r="AI234" t="n">
        <v>10</v>
      </c>
      <c r="AJ234" t="n">
        <v>6</v>
      </c>
      <c r="AK234" t="n">
        <v>7</v>
      </c>
      <c r="AL234" t="n">
        <v>17</v>
      </c>
      <c r="AM234" t="n">
        <v>18</v>
      </c>
      <c r="AN234" t="n">
        <v>4</v>
      </c>
      <c r="AO234" t="n">
        <v>4</v>
      </c>
      <c r="AP234" t="n">
        <v>0</v>
      </c>
      <c r="AQ234" t="n">
        <v>0</v>
      </c>
      <c r="AR234" t="inlineStr">
        <is>
          <t>No</t>
        </is>
      </c>
      <c r="AS234" t="inlineStr">
        <is>
          <t>Yes</t>
        </is>
      </c>
      <c r="AT234">
        <f>HYPERLINK("http://catalog.hathitrust.org/Record/001214788","HathiTrust Record")</f>
        <v/>
      </c>
      <c r="AU234">
        <f>HYPERLINK("https://creighton-primo.hosted.exlibrisgroup.com/primo-explore/search?tab=default_tab&amp;search_scope=EVERYTHING&amp;vid=01CRU&amp;lang=en_US&amp;offset=0&amp;query=any,contains,991001900099702656","Catalog Record")</f>
        <v/>
      </c>
      <c r="AV234">
        <f>HYPERLINK("http://www.worldcat.org/oclc/239205","WorldCat Record")</f>
        <v/>
      </c>
      <c r="AW234" t="inlineStr">
        <is>
          <t>354048179:eng</t>
        </is>
      </c>
      <c r="AX234" t="inlineStr">
        <is>
          <t>239205</t>
        </is>
      </c>
      <c r="AY234" t="inlineStr">
        <is>
          <t>991001900099702656</t>
        </is>
      </c>
      <c r="AZ234" t="inlineStr">
        <is>
          <t>991001900099702656</t>
        </is>
      </c>
      <c r="BA234" t="inlineStr">
        <is>
          <t>2256714430002656</t>
        </is>
      </c>
      <c r="BB234" t="inlineStr">
        <is>
          <t>BOOK</t>
        </is>
      </c>
      <c r="BE234" t="inlineStr">
        <is>
          <t>32285002796091</t>
        </is>
      </c>
      <c r="BF234" t="inlineStr">
        <is>
          <t>893691006</t>
        </is>
      </c>
    </row>
    <row r="235">
      <c r="A235" t="inlineStr">
        <is>
          <t>No</t>
        </is>
      </c>
      <c r="B235" t="inlineStr">
        <is>
          <t>CURAL</t>
        </is>
      </c>
      <c r="C235" t="inlineStr">
        <is>
          <t>SHELVES</t>
        </is>
      </c>
      <c r="D235" t="inlineStr">
        <is>
          <t>PQ2631.R63 A818</t>
        </is>
      </c>
      <c r="E235" t="inlineStr">
        <is>
          <t>0                      PQ 2631000R  63                 A  818</t>
        </is>
      </c>
      <c r="F235" t="inlineStr">
        <is>
          <t>Marcel Proust / James Robert Hewitt.</t>
        </is>
      </c>
      <c r="H235" t="inlineStr">
        <is>
          <t>No</t>
        </is>
      </c>
      <c r="I235" t="inlineStr">
        <is>
          <t>1</t>
        </is>
      </c>
      <c r="J235" t="inlineStr">
        <is>
          <t>No</t>
        </is>
      </c>
      <c r="K235" t="inlineStr">
        <is>
          <t>No</t>
        </is>
      </c>
      <c r="L235" t="inlineStr">
        <is>
          <t>0</t>
        </is>
      </c>
      <c r="M235" t="inlineStr">
        <is>
          <t>Hewitt, James Robert.</t>
        </is>
      </c>
      <c r="N235" t="inlineStr">
        <is>
          <t>New York : F. Ungar Pub. Co., [1975]</t>
        </is>
      </c>
      <c r="O235" t="inlineStr">
        <is>
          <t>1975</t>
        </is>
      </c>
      <c r="Q235" t="inlineStr">
        <is>
          <t>eng</t>
        </is>
      </c>
      <c r="R235" t="inlineStr">
        <is>
          <t>nyu</t>
        </is>
      </c>
      <c r="S235" t="inlineStr">
        <is>
          <t>Modern literature monographs</t>
        </is>
      </c>
      <c r="T235" t="inlineStr">
        <is>
          <t xml:space="preserve">PQ </t>
        </is>
      </c>
      <c r="U235" t="n">
        <v>1</v>
      </c>
      <c r="V235" t="n">
        <v>1</v>
      </c>
      <c r="W235" t="inlineStr">
        <is>
          <t>2003-10-01</t>
        </is>
      </c>
      <c r="X235" t="inlineStr">
        <is>
          <t>2003-10-01</t>
        </is>
      </c>
      <c r="Y235" t="inlineStr">
        <is>
          <t>1993-09-23</t>
        </is>
      </c>
      <c r="Z235" t="inlineStr">
        <is>
          <t>1993-09-23</t>
        </is>
      </c>
      <c r="AA235" t="n">
        <v>805</v>
      </c>
      <c r="AB235" t="n">
        <v>740</v>
      </c>
      <c r="AC235" t="n">
        <v>747</v>
      </c>
      <c r="AD235" t="n">
        <v>5</v>
      </c>
      <c r="AE235" t="n">
        <v>5</v>
      </c>
      <c r="AF235" t="n">
        <v>31</v>
      </c>
      <c r="AG235" t="n">
        <v>31</v>
      </c>
      <c r="AH235" t="n">
        <v>14</v>
      </c>
      <c r="AI235" t="n">
        <v>14</v>
      </c>
      <c r="AJ235" t="n">
        <v>10</v>
      </c>
      <c r="AK235" t="n">
        <v>10</v>
      </c>
      <c r="AL235" t="n">
        <v>13</v>
      </c>
      <c r="AM235" t="n">
        <v>13</v>
      </c>
      <c r="AN235" t="n">
        <v>3</v>
      </c>
      <c r="AO235" t="n">
        <v>3</v>
      </c>
      <c r="AP235" t="n">
        <v>0</v>
      </c>
      <c r="AQ235" t="n">
        <v>0</v>
      </c>
      <c r="AR235" t="inlineStr">
        <is>
          <t>No</t>
        </is>
      </c>
      <c r="AS235" t="inlineStr">
        <is>
          <t>Yes</t>
        </is>
      </c>
      <c r="AT235">
        <f>HYPERLINK("http://catalog.hathitrust.org/Record/000032265","HathiTrust Record")</f>
        <v/>
      </c>
      <c r="AU235">
        <f>HYPERLINK("https://creighton-primo.hosted.exlibrisgroup.com/primo-explore/search?tab=default_tab&amp;search_scope=EVERYTHING&amp;vid=01CRU&amp;lang=en_US&amp;offset=0&amp;query=any,contains,991003615309702656","Catalog Record")</f>
        <v/>
      </c>
      <c r="AV235">
        <f>HYPERLINK("http://www.worldcat.org/oclc/1198839","WorldCat Record")</f>
        <v/>
      </c>
      <c r="AW235" t="inlineStr">
        <is>
          <t>2162475:eng</t>
        </is>
      </c>
      <c r="AX235" t="inlineStr">
        <is>
          <t>1198839</t>
        </is>
      </c>
      <c r="AY235" t="inlineStr">
        <is>
          <t>991003615309702656</t>
        </is>
      </c>
      <c r="AZ235" t="inlineStr">
        <is>
          <t>991003615309702656</t>
        </is>
      </c>
      <c r="BA235" t="inlineStr">
        <is>
          <t>2266906820002656</t>
        </is>
      </c>
      <c r="BB235" t="inlineStr">
        <is>
          <t>BOOK</t>
        </is>
      </c>
      <c r="BD235" t="inlineStr">
        <is>
          <t>9780804423823</t>
        </is>
      </c>
      <c r="BE235" t="inlineStr">
        <is>
          <t>32285001770865</t>
        </is>
      </c>
      <c r="BF235" t="inlineStr">
        <is>
          <t>893435181</t>
        </is>
      </c>
    </row>
    <row r="236">
      <c r="A236" t="inlineStr">
        <is>
          <t>No</t>
        </is>
      </c>
      <c r="B236" t="inlineStr">
        <is>
          <t>CURAL</t>
        </is>
      </c>
      <c r="C236" t="inlineStr">
        <is>
          <t>SHELVES</t>
        </is>
      </c>
      <c r="D236" t="inlineStr">
        <is>
          <t>PQ2631.R63 A84 1966</t>
        </is>
      </c>
      <c r="E236" t="inlineStr">
        <is>
          <t>0                      PQ 2631000R  63                 A  84          1966</t>
        </is>
      </c>
      <c r="F236" t="inlineStr">
        <is>
          <t>The magic lantern of Marcel Proust / by Howard Moss.</t>
        </is>
      </c>
      <c r="H236" t="inlineStr">
        <is>
          <t>No</t>
        </is>
      </c>
      <c r="I236" t="inlineStr">
        <is>
          <t>1</t>
        </is>
      </c>
      <c r="J236" t="inlineStr">
        <is>
          <t>No</t>
        </is>
      </c>
      <c r="K236" t="inlineStr">
        <is>
          <t>No</t>
        </is>
      </c>
      <c r="L236" t="inlineStr">
        <is>
          <t>0</t>
        </is>
      </c>
      <c r="M236" t="inlineStr">
        <is>
          <t>Moss, Howard, 1922-1987.</t>
        </is>
      </c>
      <c r="N236" t="inlineStr">
        <is>
          <t>New York : Grosset &amp; Dunlap, 1966.</t>
        </is>
      </c>
      <c r="O236" t="inlineStr">
        <is>
          <t>1966</t>
        </is>
      </c>
      <c r="P236" t="inlineStr">
        <is>
          <t>Universal library ed.</t>
        </is>
      </c>
      <c r="Q236" t="inlineStr">
        <is>
          <t>eng</t>
        </is>
      </c>
      <c r="R236" t="inlineStr">
        <is>
          <t>nyu</t>
        </is>
      </c>
      <c r="S236" t="inlineStr">
        <is>
          <t>Universal library ; 200</t>
        </is>
      </c>
      <c r="T236" t="inlineStr">
        <is>
          <t xml:space="preserve">PQ </t>
        </is>
      </c>
      <c r="U236" t="n">
        <v>1</v>
      </c>
      <c r="V236" t="n">
        <v>1</v>
      </c>
      <c r="W236" t="inlineStr">
        <is>
          <t>2002-01-30</t>
        </is>
      </c>
      <c r="X236" t="inlineStr">
        <is>
          <t>2002-01-30</t>
        </is>
      </c>
      <c r="Y236" t="inlineStr">
        <is>
          <t>2002-01-30</t>
        </is>
      </c>
      <c r="Z236" t="inlineStr">
        <is>
          <t>2002-01-30</t>
        </is>
      </c>
      <c r="AA236" t="n">
        <v>67</v>
      </c>
      <c r="AB236" t="n">
        <v>63</v>
      </c>
      <c r="AC236" t="n">
        <v>760</v>
      </c>
      <c r="AD236" t="n">
        <v>2</v>
      </c>
      <c r="AE236" t="n">
        <v>5</v>
      </c>
      <c r="AF236" t="n">
        <v>7</v>
      </c>
      <c r="AG236" t="n">
        <v>32</v>
      </c>
      <c r="AH236" t="n">
        <v>5</v>
      </c>
      <c r="AI236" t="n">
        <v>12</v>
      </c>
      <c r="AJ236" t="n">
        <v>0</v>
      </c>
      <c r="AK236" t="n">
        <v>7</v>
      </c>
      <c r="AL236" t="n">
        <v>4</v>
      </c>
      <c r="AM236" t="n">
        <v>16</v>
      </c>
      <c r="AN236" t="n">
        <v>1</v>
      </c>
      <c r="AO236" t="n">
        <v>4</v>
      </c>
      <c r="AP236" t="n">
        <v>0</v>
      </c>
      <c r="AQ236" t="n">
        <v>0</v>
      </c>
      <c r="AR236" t="inlineStr">
        <is>
          <t>No</t>
        </is>
      </c>
      <c r="AS236" t="inlineStr">
        <is>
          <t>No</t>
        </is>
      </c>
      <c r="AU236">
        <f>HYPERLINK("https://creighton-primo.hosted.exlibrisgroup.com/primo-explore/search?tab=default_tab&amp;search_scope=EVERYTHING&amp;vid=01CRU&amp;lang=en_US&amp;offset=0&amp;query=any,contains,991003718299702656","Catalog Record")</f>
        <v/>
      </c>
      <c r="AV236">
        <f>HYPERLINK("http://www.worldcat.org/oclc/614635","WorldCat Record")</f>
        <v/>
      </c>
      <c r="AW236" t="inlineStr">
        <is>
          <t>119269218:eng</t>
        </is>
      </c>
      <c r="AX236" t="inlineStr">
        <is>
          <t>614635</t>
        </is>
      </c>
      <c r="AY236" t="inlineStr">
        <is>
          <t>991003718299702656</t>
        </is>
      </c>
      <c r="AZ236" t="inlineStr">
        <is>
          <t>991003718299702656</t>
        </is>
      </c>
      <c r="BA236" t="inlineStr">
        <is>
          <t>2270132020002656</t>
        </is>
      </c>
      <c r="BB236" t="inlineStr">
        <is>
          <t>BOOK</t>
        </is>
      </c>
      <c r="BE236" t="inlineStr">
        <is>
          <t>32285004450705</t>
        </is>
      </c>
      <c r="BF236" t="inlineStr">
        <is>
          <t>893806126</t>
        </is>
      </c>
    </row>
    <row r="237">
      <c r="A237" t="inlineStr">
        <is>
          <t>No</t>
        </is>
      </c>
      <c r="B237" t="inlineStr">
        <is>
          <t>CURAL</t>
        </is>
      </c>
      <c r="C237" t="inlineStr">
        <is>
          <t>SHELVES</t>
        </is>
      </c>
      <c r="D237" t="inlineStr">
        <is>
          <t>PQ2631.R63 A8624 2004</t>
        </is>
      </c>
      <c r="E237" t="inlineStr">
        <is>
          <t>0                      PQ 2631000R  63                 A  8624        2004</t>
        </is>
      </c>
      <c r="F237" t="inlineStr">
        <is>
          <t>The Proust project / edited by André Aciman.</t>
        </is>
      </c>
      <c r="H237" t="inlineStr">
        <is>
          <t>No</t>
        </is>
      </c>
      <c r="I237" t="inlineStr">
        <is>
          <t>1</t>
        </is>
      </c>
      <c r="J237" t="inlineStr">
        <is>
          <t>No</t>
        </is>
      </c>
      <c r="K237" t="inlineStr">
        <is>
          <t>No</t>
        </is>
      </c>
      <c r="L237" t="inlineStr">
        <is>
          <t>0</t>
        </is>
      </c>
      <c r="N237" t="inlineStr">
        <is>
          <t>New York : Farrar, Straus and Giroux : Turtle Point Press Books &amp; Co. : Helen Marx Books, c2004.</t>
        </is>
      </c>
      <c r="O237" t="inlineStr">
        <is>
          <t>2004</t>
        </is>
      </c>
      <c r="Q237" t="inlineStr">
        <is>
          <t>eng</t>
        </is>
      </c>
      <c r="R237" t="inlineStr">
        <is>
          <t>nyu</t>
        </is>
      </c>
      <c r="T237" t="inlineStr">
        <is>
          <t xml:space="preserve">PQ </t>
        </is>
      </c>
      <c r="U237" t="n">
        <v>1</v>
      </c>
      <c r="V237" t="n">
        <v>1</v>
      </c>
      <c r="W237" t="inlineStr">
        <is>
          <t>2004-12-02</t>
        </is>
      </c>
      <c r="X237" t="inlineStr">
        <is>
          <t>2004-12-02</t>
        </is>
      </c>
      <c r="Y237" t="inlineStr">
        <is>
          <t>2004-12-02</t>
        </is>
      </c>
      <c r="Z237" t="inlineStr">
        <is>
          <t>2004-12-02</t>
        </is>
      </c>
      <c r="AA237" t="n">
        <v>364</v>
      </c>
      <c r="AB237" t="n">
        <v>318</v>
      </c>
      <c r="AC237" t="n">
        <v>318</v>
      </c>
      <c r="AD237" t="n">
        <v>2</v>
      </c>
      <c r="AE237" t="n">
        <v>2</v>
      </c>
      <c r="AF237" t="n">
        <v>11</v>
      </c>
      <c r="AG237" t="n">
        <v>11</v>
      </c>
      <c r="AH237" t="n">
        <v>3</v>
      </c>
      <c r="AI237" t="n">
        <v>3</v>
      </c>
      <c r="AJ237" t="n">
        <v>6</v>
      </c>
      <c r="AK237" t="n">
        <v>6</v>
      </c>
      <c r="AL237" t="n">
        <v>6</v>
      </c>
      <c r="AM237" t="n">
        <v>6</v>
      </c>
      <c r="AN237" t="n">
        <v>1</v>
      </c>
      <c r="AO237" t="n">
        <v>1</v>
      </c>
      <c r="AP237" t="n">
        <v>0</v>
      </c>
      <c r="AQ237" t="n">
        <v>0</v>
      </c>
      <c r="AR237" t="inlineStr">
        <is>
          <t>No</t>
        </is>
      </c>
      <c r="AS237" t="inlineStr">
        <is>
          <t>No</t>
        </is>
      </c>
      <c r="AU237">
        <f>HYPERLINK("https://creighton-primo.hosted.exlibrisgroup.com/primo-explore/search?tab=default_tab&amp;search_scope=EVERYTHING&amp;vid=01CRU&amp;lang=en_US&amp;offset=0&amp;query=any,contains,991004402709702656","Catalog Record")</f>
        <v/>
      </c>
      <c r="AV237">
        <f>HYPERLINK("http://www.worldcat.org/oclc/54806092","WorldCat Record")</f>
        <v/>
      </c>
      <c r="AW237" t="inlineStr">
        <is>
          <t>1007950:eng</t>
        </is>
      </c>
      <c r="AX237" t="inlineStr">
        <is>
          <t>54806092</t>
        </is>
      </c>
      <c r="AY237" t="inlineStr">
        <is>
          <t>991004402709702656</t>
        </is>
      </c>
      <c r="AZ237" t="inlineStr">
        <is>
          <t>991004402709702656</t>
        </is>
      </c>
      <c r="BA237" t="inlineStr">
        <is>
          <t>2265775910002656</t>
        </is>
      </c>
      <c r="BB237" t="inlineStr">
        <is>
          <t>BOOK</t>
        </is>
      </c>
      <c r="BD237" t="inlineStr">
        <is>
          <t>9780374238322</t>
        </is>
      </c>
      <c r="BE237" t="inlineStr">
        <is>
          <t>32285005014278</t>
        </is>
      </c>
      <c r="BF237" t="inlineStr">
        <is>
          <t>893882436</t>
        </is>
      </c>
    </row>
    <row r="238">
      <c r="A238" t="inlineStr">
        <is>
          <t>No</t>
        </is>
      </c>
      <c r="B238" t="inlineStr">
        <is>
          <t>CURAL</t>
        </is>
      </c>
      <c r="C238" t="inlineStr">
        <is>
          <t>SHELVES</t>
        </is>
      </c>
      <c r="D238" t="inlineStr">
        <is>
          <t>PQ2631.R63 A89 1975</t>
        </is>
      </c>
      <c r="E238" t="inlineStr">
        <is>
          <t>0                      PQ 2631000R  63                 A  89          1975</t>
        </is>
      </c>
      <c r="F238" t="inlineStr">
        <is>
          <t>A reader's handbook to Proust : an index guide to Remembrance of things past / compiled by P. A. Spalding.</t>
        </is>
      </c>
      <c r="H238" t="inlineStr">
        <is>
          <t>No</t>
        </is>
      </c>
      <c r="I238" t="inlineStr">
        <is>
          <t>1</t>
        </is>
      </c>
      <c r="J238" t="inlineStr">
        <is>
          <t>No</t>
        </is>
      </c>
      <c r="K238" t="inlineStr">
        <is>
          <t>No</t>
        </is>
      </c>
      <c r="L238" t="inlineStr">
        <is>
          <t>0</t>
        </is>
      </c>
      <c r="M238" t="inlineStr">
        <is>
          <t>Spalding, Philip Anthony.</t>
        </is>
      </c>
      <c r="N238" t="inlineStr">
        <is>
          <t>New York : Barnes &amp; Noble, 1975.</t>
        </is>
      </c>
      <c r="O238" t="inlineStr">
        <is>
          <t>1975</t>
        </is>
      </c>
      <c r="P238" t="inlineStr">
        <is>
          <t>Rev. ed. / rev., R. H. Cortie.</t>
        </is>
      </c>
      <c r="Q238" t="inlineStr">
        <is>
          <t>eng</t>
        </is>
      </c>
      <c r="R238" t="inlineStr">
        <is>
          <t>nyu</t>
        </is>
      </c>
      <c r="T238" t="inlineStr">
        <is>
          <t xml:space="preserve">PQ </t>
        </is>
      </c>
      <c r="U238" t="n">
        <v>2</v>
      </c>
      <c r="V238" t="n">
        <v>2</v>
      </c>
      <c r="W238" t="inlineStr">
        <is>
          <t>2003-10-17</t>
        </is>
      </c>
      <c r="X238" t="inlineStr">
        <is>
          <t>2003-10-17</t>
        </is>
      </c>
      <c r="Y238" t="inlineStr">
        <is>
          <t>1997-06-13</t>
        </is>
      </c>
      <c r="Z238" t="inlineStr">
        <is>
          <t>1997-06-13</t>
        </is>
      </c>
      <c r="AA238" t="n">
        <v>252</v>
      </c>
      <c r="AB238" t="n">
        <v>234</v>
      </c>
      <c r="AC238" t="n">
        <v>467</v>
      </c>
      <c r="AD238" t="n">
        <v>2</v>
      </c>
      <c r="AE238" t="n">
        <v>5</v>
      </c>
      <c r="AF238" t="n">
        <v>12</v>
      </c>
      <c r="AG238" t="n">
        <v>28</v>
      </c>
      <c r="AH238" t="n">
        <v>5</v>
      </c>
      <c r="AI238" t="n">
        <v>9</v>
      </c>
      <c r="AJ238" t="n">
        <v>3</v>
      </c>
      <c r="AK238" t="n">
        <v>7</v>
      </c>
      <c r="AL238" t="n">
        <v>7</v>
      </c>
      <c r="AM238" t="n">
        <v>16</v>
      </c>
      <c r="AN238" t="n">
        <v>1</v>
      </c>
      <c r="AO238" t="n">
        <v>4</v>
      </c>
      <c r="AP238" t="n">
        <v>0</v>
      </c>
      <c r="AQ238" t="n">
        <v>0</v>
      </c>
      <c r="AR238" t="inlineStr">
        <is>
          <t>No</t>
        </is>
      </c>
      <c r="AS238" t="inlineStr">
        <is>
          <t>Yes</t>
        </is>
      </c>
      <c r="AT238">
        <f>HYPERLINK("http://catalog.hathitrust.org/Record/000687334","HathiTrust Record")</f>
        <v/>
      </c>
      <c r="AU238">
        <f>HYPERLINK("https://creighton-primo.hosted.exlibrisgroup.com/primo-explore/search?tab=default_tab&amp;search_scope=EVERYTHING&amp;vid=01CRU&amp;lang=en_US&amp;offset=0&amp;query=any,contains,991003909319702656","Catalog Record")</f>
        <v/>
      </c>
      <c r="AV238">
        <f>HYPERLINK("http://www.worldcat.org/oclc/1848899","WorldCat Record")</f>
        <v/>
      </c>
      <c r="AW238" t="inlineStr">
        <is>
          <t>1984494:eng</t>
        </is>
      </c>
      <c r="AX238" t="inlineStr">
        <is>
          <t>1848899</t>
        </is>
      </c>
      <c r="AY238" t="inlineStr">
        <is>
          <t>991003909319702656</t>
        </is>
      </c>
      <c r="AZ238" t="inlineStr">
        <is>
          <t>991003909319702656</t>
        </is>
      </c>
      <c r="BA238" t="inlineStr">
        <is>
          <t>2257400370002656</t>
        </is>
      </c>
      <c r="BB238" t="inlineStr">
        <is>
          <t>BOOK</t>
        </is>
      </c>
      <c r="BD238" t="inlineStr">
        <is>
          <t>9780064964333</t>
        </is>
      </c>
      <c r="BE238" t="inlineStr">
        <is>
          <t>32285002796141</t>
        </is>
      </c>
      <c r="BF238" t="inlineStr">
        <is>
          <t>893617983</t>
        </is>
      </c>
    </row>
    <row r="239">
      <c r="A239" t="inlineStr">
        <is>
          <t>No</t>
        </is>
      </c>
      <c r="B239" t="inlineStr">
        <is>
          <t>CURAL</t>
        </is>
      </c>
      <c r="C239" t="inlineStr">
        <is>
          <t>SHELVES</t>
        </is>
      </c>
      <c r="D239" t="inlineStr">
        <is>
          <t>PQ2631.R63 P3</t>
        </is>
      </c>
      <c r="E239" t="inlineStr">
        <is>
          <t>0                      PQ 2631000R  63                 P  3</t>
        </is>
      </c>
      <c r="F239" t="inlineStr">
        <is>
          <t>The past recaptured. Translated from the French by Andreas Mayor.</t>
        </is>
      </c>
      <c r="H239" t="inlineStr">
        <is>
          <t>No</t>
        </is>
      </c>
      <c r="I239" t="inlineStr">
        <is>
          <t>1</t>
        </is>
      </c>
      <c r="J239" t="inlineStr">
        <is>
          <t>No</t>
        </is>
      </c>
      <c r="K239" t="inlineStr">
        <is>
          <t>No</t>
        </is>
      </c>
      <c r="L239" t="inlineStr">
        <is>
          <t>0</t>
        </is>
      </c>
      <c r="M239" t="inlineStr">
        <is>
          <t>Proust, Marcel, 1871-1922.</t>
        </is>
      </c>
      <c r="N239" t="inlineStr">
        <is>
          <t>New York, Random House [1970]</t>
        </is>
      </c>
      <c r="O239" t="inlineStr">
        <is>
          <t>1970</t>
        </is>
      </c>
      <c r="P239" t="inlineStr">
        <is>
          <t>[1st American ed.]</t>
        </is>
      </c>
      <c r="Q239" t="inlineStr">
        <is>
          <t>eng</t>
        </is>
      </c>
      <c r="R239" t="inlineStr">
        <is>
          <t>nyu</t>
        </is>
      </c>
      <c r="T239" t="inlineStr">
        <is>
          <t xml:space="preserve">PQ </t>
        </is>
      </c>
      <c r="U239" t="n">
        <v>2</v>
      </c>
      <c r="V239" t="n">
        <v>2</v>
      </c>
      <c r="W239" t="inlineStr">
        <is>
          <t>1998-10-29</t>
        </is>
      </c>
      <c r="X239" t="inlineStr">
        <is>
          <t>1998-10-29</t>
        </is>
      </c>
      <c r="Y239" t="inlineStr">
        <is>
          <t>1998-02-16</t>
        </is>
      </c>
      <c r="Z239" t="inlineStr">
        <is>
          <t>1998-02-16</t>
        </is>
      </c>
      <c r="AA239" t="n">
        <v>659</v>
      </c>
      <c r="AB239" t="n">
        <v>627</v>
      </c>
      <c r="AC239" t="n">
        <v>1500</v>
      </c>
      <c r="AD239" t="n">
        <v>5</v>
      </c>
      <c r="AE239" t="n">
        <v>14</v>
      </c>
      <c r="AF239" t="n">
        <v>23</v>
      </c>
      <c r="AG239" t="n">
        <v>46</v>
      </c>
      <c r="AH239" t="n">
        <v>11</v>
      </c>
      <c r="AI239" t="n">
        <v>19</v>
      </c>
      <c r="AJ239" t="n">
        <v>5</v>
      </c>
      <c r="AK239" t="n">
        <v>9</v>
      </c>
      <c r="AL239" t="n">
        <v>10</v>
      </c>
      <c r="AM239" t="n">
        <v>20</v>
      </c>
      <c r="AN239" t="n">
        <v>4</v>
      </c>
      <c r="AO239" t="n">
        <v>9</v>
      </c>
      <c r="AP239" t="n">
        <v>0</v>
      </c>
      <c r="AQ239" t="n">
        <v>0</v>
      </c>
      <c r="AR239" t="inlineStr">
        <is>
          <t>No</t>
        </is>
      </c>
      <c r="AS239" t="inlineStr">
        <is>
          <t>Yes</t>
        </is>
      </c>
      <c r="AT239">
        <f>HYPERLINK("http://catalog.hathitrust.org/Record/001214871","HathiTrust Record")</f>
        <v/>
      </c>
      <c r="AU239">
        <f>HYPERLINK("https://creighton-primo.hosted.exlibrisgroup.com/primo-explore/search?tab=default_tab&amp;search_scope=EVERYTHING&amp;vid=01CRU&amp;lang=en_US&amp;offset=0&amp;query=any,contains,991000643559702656","Catalog Record")</f>
        <v/>
      </c>
      <c r="AV239">
        <f>HYPERLINK("http://www.worldcat.org/oclc/110195","WorldCat Record")</f>
        <v/>
      </c>
      <c r="AW239" t="inlineStr">
        <is>
          <t>4714400071:eng</t>
        </is>
      </c>
      <c r="AX239" t="inlineStr">
        <is>
          <t>110195</t>
        </is>
      </c>
      <c r="AY239" t="inlineStr">
        <is>
          <t>991000643559702656</t>
        </is>
      </c>
      <c r="AZ239" t="inlineStr">
        <is>
          <t>991000643559702656</t>
        </is>
      </c>
      <c r="BA239" t="inlineStr">
        <is>
          <t>2266870150002656</t>
        </is>
      </c>
      <c r="BB239" t="inlineStr">
        <is>
          <t>BOOK</t>
        </is>
      </c>
      <c r="BD239" t="inlineStr">
        <is>
          <t>9780394439891</t>
        </is>
      </c>
      <c r="BE239" t="inlineStr">
        <is>
          <t>32285003260972</t>
        </is>
      </c>
      <c r="BF239" t="inlineStr">
        <is>
          <t>893890889</t>
        </is>
      </c>
    </row>
    <row r="240">
      <c r="A240" t="inlineStr">
        <is>
          <t>No</t>
        </is>
      </c>
      <c r="B240" t="inlineStr">
        <is>
          <t>CURAL</t>
        </is>
      </c>
      <c r="C240" t="inlineStr">
        <is>
          <t>SHELVES</t>
        </is>
      </c>
      <c r="D240" t="inlineStr">
        <is>
          <t>PQ2631.R63 Z465</t>
        </is>
      </c>
      <c r="E240" t="inlineStr">
        <is>
          <t>0                      PQ 2631000R  63                 Z  465</t>
        </is>
      </c>
      <c r="F240" t="inlineStr">
        <is>
          <t>Marcel Proust, a biography.</t>
        </is>
      </c>
      <c r="H240" t="inlineStr">
        <is>
          <t>No</t>
        </is>
      </c>
      <c r="I240" t="inlineStr">
        <is>
          <t>1</t>
        </is>
      </c>
      <c r="J240" t="inlineStr">
        <is>
          <t>No</t>
        </is>
      </c>
      <c r="K240" t="inlineStr">
        <is>
          <t>No</t>
        </is>
      </c>
      <c r="L240" t="inlineStr">
        <is>
          <t>0</t>
        </is>
      </c>
      <c r="M240" t="inlineStr">
        <is>
          <t>Barker, Richard Hindry, 1902-1968.</t>
        </is>
      </c>
      <c r="N240" t="inlineStr">
        <is>
          <t>New York, Criterion Books [1958]</t>
        </is>
      </c>
      <c r="O240" t="inlineStr">
        <is>
          <t>1958</t>
        </is>
      </c>
      <c r="Q240" t="inlineStr">
        <is>
          <t>eng</t>
        </is>
      </c>
      <c r="R240" t="inlineStr">
        <is>
          <t>nyu</t>
        </is>
      </c>
      <c r="T240" t="inlineStr">
        <is>
          <t xml:space="preserve">PQ </t>
        </is>
      </c>
      <c r="U240" t="n">
        <v>1</v>
      </c>
      <c r="V240" t="n">
        <v>1</v>
      </c>
      <c r="W240" t="inlineStr">
        <is>
          <t>2003-10-01</t>
        </is>
      </c>
      <c r="X240" t="inlineStr">
        <is>
          <t>2003-10-01</t>
        </is>
      </c>
      <c r="Y240" t="inlineStr">
        <is>
          <t>1997-06-16</t>
        </is>
      </c>
      <c r="Z240" t="inlineStr">
        <is>
          <t>1997-06-16</t>
        </is>
      </c>
      <c r="AA240" t="n">
        <v>825</v>
      </c>
      <c r="AB240" t="n">
        <v>766</v>
      </c>
      <c r="AC240" t="n">
        <v>907</v>
      </c>
      <c r="AD240" t="n">
        <v>9</v>
      </c>
      <c r="AE240" t="n">
        <v>11</v>
      </c>
      <c r="AF240" t="n">
        <v>30</v>
      </c>
      <c r="AG240" t="n">
        <v>46</v>
      </c>
      <c r="AH240" t="n">
        <v>10</v>
      </c>
      <c r="AI240" t="n">
        <v>19</v>
      </c>
      <c r="AJ240" t="n">
        <v>7</v>
      </c>
      <c r="AK240" t="n">
        <v>10</v>
      </c>
      <c r="AL240" t="n">
        <v>11</v>
      </c>
      <c r="AM240" t="n">
        <v>19</v>
      </c>
      <c r="AN240" t="n">
        <v>6</v>
      </c>
      <c r="AO240" t="n">
        <v>8</v>
      </c>
      <c r="AP240" t="n">
        <v>0</v>
      </c>
      <c r="AQ240" t="n">
        <v>0</v>
      </c>
      <c r="AR240" t="inlineStr">
        <is>
          <t>No</t>
        </is>
      </c>
      <c r="AS240" t="inlineStr">
        <is>
          <t>No</t>
        </is>
      </c>
      <c r="AT240">
        <f>HYPERLINK("http://catalog.hathitrust.org/Record/001015529","HathiTrust Record")</f>
        <v/>
      </c>
      <c r="AU240">
        <f>HYPERLINK("https://creighton-primo.hosted.exlibrisgroup.com/primo-explore/search?tab=default_tab&amp;search_scope=EVERYTHING&amp;vid=01CRU&amp;lang=en_US&amp;offset=0&amp;query=any,contains,991002423219702656","Catalog Record")</f>
        <v/>
      </c>
      <c r="AV240">
        <f>HYPERLINK("http://www.worldcat.org/oclc/343800","WorldCat Record")</f>
        <v/>
      </c>
      <c r="AW240" t="inlineStr">
        <is>
          <t>1869921350:eng</t>
        </is>
      </c>
      <c r="AX240" t="inlineStr">
        <is>
          <t>343800</t>
        </is>
      </c>
      <c r="AY240" t="inlineStr">
        <is>
          <t>991002423219702656</t>
        </is>
      </c>
      <c r="AZ240" t="inlineStr">
        <is>
          <t>991002423219702656</t>
        </is>
      </c>
      <c r="BA240" t="inlineStr">
        <is>
          <t>2264725630002656</t>
        </is>
      </c>
      <c r="BB240" t="inlineStr">
        <is>
          <t>BOOK</t>
        </is>
      </c>
      <c r="BE240" t="inlineStr">
        <is>
          <t>32285002796182</t>
        </is>
      </c>
      <c r="BF240" t="inlineStr">
        <is>
          <t>893510711</t>
        </is>
      </c>
    </row>
    <row r="241">
      <c r="A241" t="inlineStr">
        <is>
          <t>No</t>
        </is>
      </c>
      <c r="B241" t="inlineStr">
        <is>
          <t>CURAL</t>
        </is>
      </c>
      <c r="C241" t="inlineStr">
        <is>
          <t>SHELVES</t>
        </is>
      </c>
      <c r="D241" t="inlineStr">
        <is>
          <t>PQ2631.R63 Z54 5456</t>
        </is>
      </c>
      <c r="E241" t="inlineStr">
        <is>
          <t>0                      PQ 2631000R  63                 Z  54          5456</t>
        </is>
      </c>
      <c r="F241" t="inlineStr">
        <is>
          <t>Marcel Proust / by Patrick Brady.</t>
        </is>
      </c>
      <c r="H241" t="inlineStr">
        <is>
          <t>No</t>
        </is>
      </c>
      <c r="I241" t="inlineStr">
        <is>
          <t>1</t>
        </is>
      </c>
      <c r="J241" t="inlineStr">
        <is>
          <t>No</t>
        </is>
      </c>
      <c r="K241" t="inlineStr">
        <is>
          <t>No</t>
        </is>
      </c>
      <c r="L241" t="inlineStr">
        <is>
          <t>0</t>
        </is>
      </c>
      <c r="M241" t="inlineStr">
        <is>
          <t>Brady, Patrick, 1933-</t>
        </is>
      </c>
      <c r="N241" t="inlineStr">
        <is>
          <t>Boston : Twayne Publishers, c1977.</t>
        </is>
      </c>
      <c r="O241" t="inlineStr">
        <is>
          <t>1977</t>
        </is>
      </c>
      <c r="Q241" t="inlineStr">
        <is>
          <t>eng</t>
        </is>
      </c>
      <c r="R241" t="inlineStr">
        <is>
          <t>mau</t>
        </is>
      </c>
      <c r="S241" t="inlineStr">
        <is>
          <t>Twayne's world authors series ; TWAS 404 : France</t>
        </is>
      </c>
      <c r="T241" t="inlineStr">
        <is>
          <t xml:space="preserve">PQ </t>
        </is>
      </c>
      <c r="U241" t="n">
        <v>1</v>
      </c>
      <c r="V241" t="n">
        <v>1</v>
      </c>
      <c r="W241" t="inlineStr">
        <is>
          <t>2003-10-01</t>
        </is>
      </c>
      <c r="X241" t="inlineStr">
        <is>
          <t>2003-10-01</t>
        </is>
      </c>
      <c r="Y241" t="inlineStr">
        <is>
          <t>1997-06-16</t>
        </is>
      </c>
      <c r="Z241" t="inlineStr">
        <is>
          <t>1997-06-16</t>
        </is>
      </c>
      <c r="AA241" t="n">
        <v>908</v>
      </c>
      <c r="AB241" t="n">
        <v>804</v>
      </c>
      <c r="AC241" t="n">
        <v>818</v>
      </c>
      <c r="AD241" t="n">
        <v>4</v>
      </c>
      <c r="AE241" t="n">
        <v>4</v>
      </c>
      <c r="AF241" t="n">
        <v>28</v>
      </c>
      <c r="AG241" t="n">
        <v>30</v>
      </c>
      <c r="AH241" t="n">
        <v>9</v>
      </c>
      <c r="AI241" t="n">
        <v>10</v>
      </c>
      <c r="AJ241" t="n">
        <v>9</v>
      </c>
      <c r="AK241" t="n">
        <v>10</v>
      </c>
      <c r="AL241" t="n">
        <v>15</v>
      </c>
      <c r="AM241" t="n">
        <v>15</v>
      </c>
      <c r="AN241" t="n">
        <v>3</v>
      </c>
      <c r="AO241" t="n">
        <v>3</v>
      </c>
      <c r="AP241" t="n">
        <v>0</v>
      </c>
      <c r="AQ241" t="n">
        <v>0</v>
      </c>
      <c r="AR241" t="inlineStr">
        <is>
          <t>No</t>
        </is>
      </c>
      <c r="AS241" t="inlineStr">
        <is>
          <t>Yes</t>
        </is>
      </c>
      <c r="AT241">
        <f>HYPERLINK("http://catalog.hathitrust.org/Record/000739326","HathiTrust Record")</f>
        <v/>
      </c>
      <c r="AU241">
        <f>HYPERLINK("https://creighton-primo.hosted.exlibrisgroup.com/primo-explore/search?tab=default_tab&amp;search_scope=EVERYTHING&amp;vid=01CRU&amp;lang=en_US&amp;offset=0&amp;query=any,contains,991004281619702656","Catalog Record")</f>
        <v/>
      </c>
      <c r="AV241">
        <f>HYPERLINK("http://www.worldcat.org/oclc/2912099","WorldCat Record")</f>
        <v/>
      </c>
      <c r="AW241" t="inlineStr">
        <is>
          <t>1909396279:eng</t>
        </is>
      </c>
      <c r="AX241" t="inlineStr">
        <is>
          <t>2912099</t>
        </is>
      </c>
      <c r="AY241" t="inlineStr">
        <is>
          <t>991004281619702656</t>
        </is>
      </c>
      <c r="AZ241" t="inlineStr">
        <is>
          <t>991004281619702656</t>
        </is>
      </c>
      <c r="BA241" t="inlineStr">
        <is>
          <t>2267835160002656</t>
        </is>
      </c>
      <c r="BB241" t="inlineStr">
        <is>
          <t>BOOK</t>
        </is>
      </c>
      <c r="BD241" t="inlineStr">
        <is>
          <t>9780805763072</t>
        </is>
      </c>
      <c r="BE241" t="inlineStr">
        <is>
          <t>32285002796208</t>
        </is>
      </c>
      <c r="BF241" t="inlineStr">
        <is>
          <t>893519458</t>
        </is>
      </c>
    </row>
    <row r="242">
      <c r="A242" t="inlineStr">
        <is>
          <t>No</t>
        </is>
      </c>
      <c r="B242" t="inlineStr">
        <is>
          <t>CURAL</t>
        </is>
      </c>
      <c r="C242" t="inlineStr">
        <is>
          <t>SHELVES</t>
        </is>
      </c>
      <c r="D242" t="inlineStr">
        <is>
          <t>PQ2631.R63 Z545254 1987</t>
        </is>
      </c>
      <c r="E242" t="inlineStr">
        <is>
          <t>0                      PQ 2631000R  63                 Z  545254      1987</t>
        </is>
      </c>
      <c r="F242" t="inlineStr">
        <is>
          <t>Freud, Proust, and Lacan : theory as fiction / Malcolm Bowie.</t>
        </is>
      </c>
      <c r="H242" t="inlineStr">
        <is>
          <t>No</t>
        </is>
      </c>
      <c r="I242" t="inlineStr">
        <is>
          <t>1</t>
        </is>
      </c>
      <c r="J242" t="inlineStr">
        <is>
          <t>No</t>
        </is>
      </c>
      <c r="K242" t="inlineStr">
        <is>
          <t>No</t>
        </is>
      </c>
      <c r="L242" t="inlineStr">
        <is>
          <t>0</t>
        </is>
      </c>
      <c r="M242" t="inlineStr">
        <is>
          <t>Bowie, Malcolm, 1943-2007.</t>
        </is>
      </c>
      <c r="N242" t="inlineStr">
        <is>
          <t>Cambridge ; New York : Cambridge University Press, 1987.</t>
        </is>
      </c>
      <c r="O242" t="inlineStr">
        <is>
          <t>1987</t>
        </is>
      </c>
      <c r="Q242" t="inlineStr">
        <is>
          <t>eng</t>
        </is>
      </c>
      <c r="R242" t="inlineStr">
        <is>
          <t>enk</t>
        </is>
      </c>
      <c r="T242" t="inlineStr">
        <is>
          <t xml:space="preserve">PQ </t>
        </is>
      </c>
      <c r="U242" t="n">
        <v>6</v>
      </c>
      <c r="V242" t="n">
        <v>6</v>
      </c>
      <c r="W242" t="inlineStr">
        <is>
          <t>2000-02-22</t>
        </is>
      </c>
      <c r="X242" t="inlineStr">
        <is>
          <t>2000-02-22</t>
        </is>
      </c>
      <c r="Y242" t="inlineStr">
        <is>
          <t>1991-05-14</t>
        </is>
      </c>
      <c r="Z242" t="inlineStr">
        <is>
          <t>1991-05-14</t>
        </is>
      </c>
      <c r="AA242" t="n">
        <v>576</v>
      </c>
      <c r="AB242" t="n">
        <v>385</v>
      </c>
      <c r="AC242" t="n">
        <v>406</v>
      </c>
      <c r="AD242" t="n">
        <v>3</v>
      </c>
      <c r="AE242" t="n">
        <v>3</v>
      </c>
      <c r="AF242" t="n">
        <v>21</v>
      </c>
      <c r="AG242" t="n">
        <v>22</v>
      </c>
      <c r="AH242" t="n">
        <v>6</v>
      </c>
      <c r="AI242" t="n">
        <v>7</v>
      </c>
      <c r="AJ242" t="n">
        <v>6</v>
      </c>
      <c r="AK242" t="n">
        <v>6</v>
      </c>
      <c r="AL242" t="n">
        <v>13</v>
      </c>
      <c r="AM242" t="n">
        <v>13</v>
      </c>
      <c r="AN242" t="n">
        <v>2</v>
      </c>
      <c r="AO242" t="n">
        <v>2</v>
      </c>
      <c r="AP242" t="n">
        <v>0</v>
      </c>
      <c r="AQ242" t="n">
        <v>0</v>
      </c>
      <c r="AR242" t="inlineStr">
        <is>
          <t>No</t>
        </is>
      </c>
      <c r="AS242" t="inlineStr">
        <is>
          <t>No</t>
        </is>
      </c>
      <c r="AU242">
        <f>HYPERLINK("https://creighton-primo.hosted.exlibrisgroup.com/primo-explore/search?tab=default_tab&amp;search_scope=EVERYTHING&amp;vid=01CRU&amp;lang=en_US&amp;offset=0&amp;query=any,contains,991000854469702656","Catalog Record")</f>
        <v/>
      </c>
      <c r="AV242">
        <f>HYPERLINK("http://www.worldcat.org/oclc/13642988","WorldCat Record")</f>
        <v/>
      </c>
      <c r="AW242" t="inlineStr">
        <is>
          <t>807525864:eng</t>
        </is>
      </c>
      <c r="AX242" t="inlineStr">
        <is>
          <t>13642988</t>
        </is>
      </c>
      <c r="AY242" t="inlineStr">
        <is>
          <t>991000854469702656</t>
        </is>
      </c>
      <c r="AZ242" t="inlineStr">
        <is>
          <t>991000854469702656</t>
        </is>
      </c>
      <c r="BA242" t="inlineStr">
        <is>
          <t>2271748170002656</t>
        </is>
      </c>
      <c r="BB242" t="inlineStr">
        <is>
          <t>BOOK</t>
        </is>
      </c>
      <c r="BD242" t="inlineStr">
        <is>
          <t>9780521256148</t>
        </is>
      </c>
      <c r="BE242" t="inlineStr">
        <is>
          <t>32285000604602</t>
        </is>
      </c>
      <c r="BF242" t="inlineStr">
        <is>
          <t>893528444</t>
        </is>
      </c>
    </row>
    <row r="243">
      <c r="A243" t="inlineStr">
        <is>
          <t>No</t>
        </is>
      </c>
      <c r="B243" t="inlineStr">
        <is>
          <t>CURAL</t>
        </is>
      </c>
      <c r="C243" t="inlineStr">
        <is>
          <t>SHELVES</t>
        </is>
      </c>
      <c r="D243" t="inlineStr">
        <is>
          <t>PQ2631.R63 Z54543 1970</t>
        </is>
      </c>
      <c r="E243" t="inlineStr">
        <is>
          <t>0                      PQ 2631000R  63                 Z  54543       1970</t>
        </is>
      </c>
      <c r="F243" t="inlineStr">
        <is>
          <t>The religion of art in Proust / [by] Barbara J. Bucknall.</t>
        </is>
      </c>
      <c r="H243" t="inlineStr">
        <is>
          <t>No</t>
        </is>
      </c>
      <c r="I243" t="inlineStr">
        <is>
          <t>1</t>
        </is>
      </c>
      <c r="J243" t="inlineStr">
        <is>
          <t>No</t>
        </is>
      </c>
      <c r="K243" t="inlineStr">
        <is>
          <t>No</t>
        </is>
      </c>
      <c r="L243" t="inlineStr">
        <is>
          <t>0</t>
        </is>
      </c>
      <c r="M243" t="inlineStr">
        <is>
          <t>Bucknall, Barbara J.</t>
        </is>
      </c>
      <c r="N243" t="inlineStr">
        <is>
          <t>Urbana : University of Illinois Press, 1969 [c1970]</t>
        </is>
      </c>
      <c r="O243" t="inlineStr">
        <is>
          <t>1969</t>
        </is>
      </c>
      <c r="Q243" t="inlineStr">
        <is>
          <t>eng</t>
        </is>
      </c>
      <c r="R243" t="inlineStr">
        <is>
          <t>ilu</t>
        </is>
      </c>
      <c r="S243" t="inlineStr">
        <is>
          <t>Illinois studies in language and literature, 60</t>
        </is>
      </c>
      <c r="T243" t="inlineStr">
        <is>
          <t xml:space="preserve">PQ </t>
        </is>
      </c>
      <c r="U243" t="n">
        <v>1</v>
      </c>
      <c r="V243" t="n">
        <v>1</v>
      </c>
      <c r="W243" t="inlineStr">
        <is>
          <t>2003-10-01</t>
        </is>
      </c>
      <c r="X243" t="inlineStr">
        <is>
          <t>2003-10-01</t>
        </is>
      </c>
      <c r="Y243" t="inlineStr">
        <is>
          <t>1998-01-06</t>
        </is>
      </c>
      <c r="Z243" t="inlineStr">
        <is>
          <t>1998-01-06</t>
        </is>
      </c>
      <c r="AA243" t="n">
        <v>541</v>
      </c>
      <c r="AB243" t="n">
        <v>433</v>
      </c>
      <c r="AC243" t="n">
        <v>436</v>
      </c>
      <c r="AD243" t="n">
        <v>3</v>
      </c>
      <c r="AE243" t="n">
        <v>3</v>
      </c>
      <c r="AF243" t="n">
        <v>23</v>
      </c>
      <c r="AG243" t="n">
        <v>23</v>
      </c>
      <c r="AH243" t="n">
        <v>6</v>
      </c>
      <c r="AI243" t="n">
        <v>6</v>
      </c>
      <c r="AJ243" t="n">
        <v>8</v>
      </c>
      <c r="AK243" t="n">
        <v>8</v>
      </c>
      <c r="AL243" t="n">
        <v>12</v>
      </c>
      <c r="AM243" t="n">
        <v>12</v>
      </c>
      <c r="AN243" t="n">
        <v>2</v>
      </c>
      <c r="AO243" t="n">
        <v>2</v>
      </c>
      <c r="AP243" t="n">
        <v>0</v>
      </c>
      <c r="AQ243" t="n">
        <v>0</v>
      </c>
      <c r="AR243" t="inlineStr">
        <is>
          <t>No</t>
        </is>
      </c>
      <c r="AS243" t="inlineStr">
        <is>
          <t>Yes</t>
        </is>
      </c>
      <c r="AT243">
        <f>HYPERLINK("http://catalog.hathitrust.org/Record/001654933","HathiTrust Record")</f>
        <v/>
      </c>
      <c r="AU243">
        <f>HYPERLINK("https://creighton-primo.hosted.exlibrisgroup.com/primo-explore/search?tab=default_tab&amp;search_scope=EVERYTHING&amp;vid=01CRU&amp;lang=en_US&amp;offset=0&amp;query=any,contains,991000445679702656","Catalog Record")</f>
        <v/>
      </c>
      <c r="AV243">
        <f>HYPERLINK("http://www.worldcat.org/oclc/76549","WorldCat Record")</f>
        <v/>
      </c>
      <c r="AW243" t="inlineStr">
        <is>
          <t>1250276:eng</t>
        </is>
      </c>
      <c r="AX243" t="inlineStr">
        <is>
          <t>76549</t>
        </is>
      </c>
      <c r="AY243" t="inlineStr">
        <is>
          <t>991000445679702656</t>
        </is>
      </c>
      <c r="AZ243" t="inlineStr">
        <is>
          <t>991000445679702656</t>
        </is>
      </c>
      <c r="BA243" t="inlineStr">
        <is>
          <t>2256971780002656</t>
        </is>
      </c>
      <c r="BB243" t="inlineStr">
        <is>
          <t>BOOK</t>
        </is>
      </c>
      <c r="BD243" t="inlineStr">
        <is>
          <t>9780252000225</t>
        </is>
      </c>
      <c r="BE243" t="inlineStr">
        <is>
          <t>32285003306239</t>
        </is>
      </c>
      <c r="BF243" t="inlineStr">
        <is>
          <t>893327296</t>
        </is>
      </c>
    </row>
    <row r="244">
      <c r="A244" t="inlineStr">
        <is>
          <t>No</t>
        </is>
      </c>
      <c r="B244" t="inlineStr">
        <is>
          <t>CURAL</t>
        </is>
      </c>
      <c r="C244" t="inlineStr">
        <is>
          <t>SHELVES</t>
        </is>
      </c>
      <c r="D244" t="inlineStr">
        <is>
          <t>PQ2631.R63 Z545656 2003</t>
        </is>
      </c>
      <c r="E244" t="inlineStr">
        <is>
          <t>0                      PQ 2631000R  63                 Z  545656      2003</t>
        </is>
      </c>
      <c r="F244" t="inlineStr">
        <is>
          <t>Marcel Proust / Mary Ann Caws.</t>
        </is>
      </c>
      <c r="H244" t="inlineStr">
        <is>
          <t>No</t>
        </is>
      </c>
      <c r="I244" t="inlineStr">
        <is>
          <t>1</t>
        </is>
      </c>
      <c r="J244" t="inlineStr">
        <is>
          <t>No</t>
        </is>
      </c>
      <c r="K244" t="inlineStr">
        <is>
          <t>No</t>
        </is>
      </c>
      <c r="L244" t="inlineStr">
        <is>
          <t>0</t>
        </is>
      </c>
      <c r="M244" t="inlineStr">
        <is>
          <t>Caws, Mary Ann.</t>
        </is>
      </c>
      <c r="N244" t="inlineStr">
        <is>
          <t>Woodstock, NY : Overlook Duckworth, 2003.</t>
        </is>
      </c>
      <c r="O244" t="inlineStr">
        <is>
          <t>2003</t>
        </is>
      </c>
      <c r="Q244" t="inlineStr">
        <is>
          <t>eng</t>
        </is>
      </c>
      <c r="R244" t="inlineStr">
        <is>
          <t>nyu</t>
        </is>
      </c>
      <c r="S244" t="inlineStr">
        <is>
          <t>Overlook illustrated lives</t>
        </is>
      </c>
      <c r="T244" t="inlineStr">
        <is>
          <t xml:space="preserve">PQ </t>
        </is>
      </c>
      <c r="U244" t="n">
        <v>1</v>
      </c>
      <c r="V244" t="n">
        <v>1</v>
      </c>
      <c r="W244" t="inlineStr">
        <is>
          <t>2003-12-11</t>
        </is>
      </c>
      <c r="X244" t="inlineStr">
        <is>
          <t>2003-12-11</t>
        </is>
      </c>
      <c r="Y244" t="inlineStr">
        <is>
          <t>2003-12-11</t>
        </is>
      </c>
      <c r="Z244" t="inlineStr">
        <is>
          <t>2003-12-11</t>
        </is>
      </c>
      <c r="AA244" t="n">
        <v>365</v>
      </c>
      <c r="AB244" t="n">
        <v>323</v>
      </c>
      <c r="AC244" t="n">
        <v>334</v>
      </c>
      <c r="AD244" t="n">
        <v>2</v>
      </c>
      <c r="AE244" t="n">
        <v>3</v>
      </c>
      <c r="AF244" t="n">
        <v>10</v>
      </c>
      <c r="AG244" t="n">
        <v>11</v>
      </c>
      <c r="AH244" t="n">
        <v>4</v>
      </c>
      <c r="AI244" t="n">
        <v>4</v>
      </c>
      <c r="AJ244" t="n">
        <v>2</v>
      </c>
      <c r="AK244" t="n">
        <v>2</v>
      </c>
      <c r="AL244" t="n">
        <v>5</v>
      </c>
      <c r="AM244" t="n">
        <v>5</v>
      </c>
      <c r="AN244" t="n">
        <v>1</v>
      </c>
      <c r="AO244" t="n">
        <v>2</v>
      </c>
      <c r="AP244" t="n">
        <v>0</v>
      </c>
      <c r="AQ244" t="n">
        <v>0</v>
      </c>
      <c r="AR244" t="inlineStr">
        <is>
          <t>No</t>
        </is>
      </c>
      <c r="AS244" t="inlineStr">
        <is>
          <t>Yes</t>
        </is>
      </c>
      <c r="AT244">
        <f>HYPERLINK("http://catalog.hathitrust.org/Record/007143324","HathiTrust Record")</f>
        <v/>
      </c>
      <c r="AU244">
        <f>HYPERLINK("https://creighton-primo.hosted.exlibrisgroup.com/primo-explore/search?tab=default_tab&amp;search_scope=EVERYTHING&amp;vid=01CRU&amp;lang=en_US&amp;offset=0&amp;query=any,contains,991004179339702656","Catalog Record")</f>
        <v/>
      </c>
      <c r="AV244">
        <f>HYPERLINK("http://www.worldcat.org/oclc/52494309","WorldCat Record")</f>
        <v/>
      </c>
      <c r="AW244" t="inlineStr">
        <is>
          <t>796174:eng</t>
        </is>
      </c>
      <c r="AX244" t="inlineStr">
        <is>
          <t>52494309</t>
        </is>
      </c>
      <c r="AY244" t="inlineStr">
        <is>
          <t>991004179339702656</t>
        </is>
      </c>
      <c r="AZ244" t="inlineStr">
        <is>
          <t>991004179339702656</t>
        </is>
      </c>
      <c r="BA244" t="inlineStr">
        <is>
          <t>2260805550002656</t>
        </is>
      </c>
      <c r="BB244" t="inlineStr">
        <is>
          <t>BOOK</t>
        </is>
      </c>
      <c r="BD244" t="inlineStr">
        <is>
          <t>9781585674053</t>
        </is>
      </c>
      <c r="BE244" t="inlineStr">
        <is>
          <t>32285004846027</t>
        </is>
      </c>
      <c r="BF244" t="inlineStr">
        <is>
          <t>893241121</t>
        </is>
      </c>
    </row>
    <row r="245">
      <c r="A245" t="inlineStr">
        <is>
          <t>No</t>
        </is>
      </c>
      <c r="B245" t="inlineStr">
        <is>
          <t>CURAL</t>
        </is>
      </c>
      <c r="C245" t="inlineStr">
        <is>
          <t>SHELVES</t>
        </is>
      </c>
      <c r="D245" t="inlineStr">
        <is>
          <t>PQ2631.R63 Z6185 1990</t>
        </is>
      </c>
      <c r="E245" t="inlineStr">
        <is>
          <t>0                      PQ 2631000R  63                 Z  6185        1990</t>
        </is>
      </c>
      <c r="F245" t="inlineStr">
        <is>
          <t>Proust : a biography / Ronald Hayman.</t>
        </is>
      </c>
      <c r="H245" t="inlineStr">
        <is>
          <t>No</t>
        </is>
      </c>
      <c r="I245" t="inlineStr">
        <is>
          <t>1</t>
        </is>
      </c>
      <c r="J245" t="inlineStr">
        <is>
          <t>No</t>
        </is>
      </c>
      <c r="K245" t="inlineStr">
        <is>
          <t>No</t>
        </is>
      </c>
      <c r="L245" t="inlineStr">
        <is>
          <t>0</t>
        </is>
      </c>
      <c r="M245" t="inlineStr">
        <is>
          <t>Hayman, Ronald, 1932-</t>
        </is>
      </c>
      <c r="N245" t="inlineStr">
        <is>
          <t>New York, NY : HarperCollins, c1990.</t>
        </is>
      </c>
      <c r="O245" t="inlineStr">
        <is>
          <t>1990</t>
        </is>
      </c>
      <c r="P245" t="inlineStr">
        <is>
          <t>1st U.S. ed.</t>
        </is>
      </c>
      <c r="Q245" t="inlineStr">
        <is>
          <t>eng</t>
        </is>
      </c>
      <c r="R245" t="inlineStr">
        <is>
          <t>nyu</t>
        </is>
      </c>
      <c r="T245" t="inlineStr">
        <is>
          <t xml:space="preserve">PQ </t>
        </is>
      </c>
      <c r="U245" t="n">
        <v>5</v>
      </c>
      <c r="V245" t="n">
        <v>5</v>
      </c>
      <c r="W245" t="inlineStr">
        <is>
          <t>1997-03-24</t>
        </is>
      </c>
      <c r="X245" t="inlineStr">
        <is>
          <t>1997-03-24</t>
        </is>
      </c>
      <c r="Y245" t="inlineStr">
        <is>
          <t>1991-02-14</t>
        </is>
      </c>
      <c r="Z245" t="inlineStr">
        <is>
          <t>1991-02-14</t>
        </is>
      </c>
      <c r="AA245" t="n">
        <v>563</v>
      </c>
      <c r="AB245" t="n">
        <v>528</v>
      </c>
      <c r="AC245" t="n">
        <v>639</v>
      </c>
      <c r="AD245" t="n">
        <v>2</v>
      </c>
      <c r="AE245" t="n">
        <v>3</v>
      </c>
      <c r="AF245" t="n">
        <v>20</v>
      </c>
      <c r="AG245" t="n">
        <v>24</v>
      </c>
      <c r="AH245" t="n">
        <v>7</v>
      </c>
      <c r="AI245" t="n">
        <v>9</v>
      </c>
      <c r="AJ245" t="n">
        <v>7</v>
      </c>
      <c r="AK245" t="n">
        <v>7</v>
      </c>
      <c r="AL245" t="n">
        <v>11</v>
      </c>
      <c r="AM245" t="n">
        <v>12</v>
      </c>
      <c r="AN245" t="n">
        <v>0</v>
      </c>
      <c r="AO245" t="n">
        <v>1</v>
      </c>
      <c r="AP245" t="n">
        <v>0</v>
      </c>
      <c r="AQ245" t="n">
        <v>0</v>
      </c>
      <c r="AR245" t="inlineStr">
        <is>
          <t>No</t>
        </is>
      </c>
      <c r="AS245" t="inlineStr">
        <is>
          <t>No</t>
        </is>
      </c>
      <c r="AU245">
        <f>HYPERLINK("https://creighton-primo.hosted.exlibrisgroup.com/primo-explore/search?tab=default_tab&amp;search_scope=EVERYTHING&amp;vid=01CRU&amp;lang=en_US&amp;offset=0&amp;query=any,contains,991001765889702656","Catalog Record")</f>
        <v/>
      </c>
      <c r="AV245">
        <f>HYPERLINK("http://www.worldcat.org/oclc/22308897","WorldCat Record")</f>
        <v/>
      </c>
      <c r="AW245" t="inlineStr">
        <is>
          <t>23995276:eng</t>
        </is>
      </c>
      <c r="AX245" t="inlineStr">
        <is>
          <t>22308897</t>
        </is>
      </c>
      <c r="AY245" t="inlineStr">
        <is>
          <t>991001765889702656</t>
        </is>
      </c>
      <c r="AZ245" t="inlineStr">
        <is>
          <t>991001765889702656</t>
        </is>
      </c>
      <c r="BA245" t="inlineStr">
        <is>
          <t>2259104350002656</t>
        </is>
      </c>
      <c r="BB245" t="inlineStr">
        <is>
          <t>BOOK</t>
        </is>
      </c>
      <c r="BD245" t="inlineStr">
        <is>
          <t>9780060164386</t>
        </is>
      </c>
      <c r="BE245" t="inlineStr">
        <is>
          <t>32285000464841</t>
        </is>
      </c>
      <c r="BF245" t="inlineStr">
        <is>
          <t>893590618</t>
        </is>
      </c>
    </row>
    <row r="246">
      <c r="A246" t="inlineStr">
        <is>
          <t>No</t>
        </is>
      </c>
      <c r="B246" t="inlineStr">
        <is>
          <t>CURAL</t>
        </is>
      </c>
      <c r="C246" t="inlineStr">
        <is>
          <t>SHELVES</t>
        </is>
      </c>
      <c r="D246" t="inlineStr">
        <is>
          <t>PQ2631.R63 Z72 1971b</t>
        </is>
      </c>
      <c r="E246" t="inlineStr">
        <is>
          <t>0                      PQ 2631000R  63                 Z  72          1971b</t>
        </is>
      </c>
      <c r="F246" t="inlineStr">
        <is>
          <t>Marcel Proust, 1871-1922 : a centennial volume / edited by Peter Quennell.</t>
        </is>
      </c>
      <c r="H246" t="inlineStr">
        <is>
          <t>No</t>
        </is>
      </c>
      <c r="I246" t="inlineStr">
        <is>
          <t>1</t>
        </is>
      </c>
      <c r="J246" t="inlineStr">
        <is>
          <t>No</t>
        </is>
      </c>
      <c r="K246" t="inlineStr">
        <is>
          <t>No</t>
        </is>
      </c>
      <c r="L246" t="inlineStr">
        <is>
          <t>0</t>
        </is>
      </c>
      <c r="N246" t="inlineStr">
        <is>
          <t>New York : Simon and Schuster, [1971]</t>
        </is>
      </c>
      <c r="O246" t="inlineStr">
        <is>
          <t>1971</t>
        </is>
      </c>
      <c r="Q246" t="inlineStr">
        <is>
          <t>eng</t>
        </is>
      </c>
      <c r="R246" t="inlineStr">
        <is>
          <t>nyu</t>
        </is>
      </c>
      <c r="T246" t="inlineStr">
        <is>
          <t xml:space="preserve">PQ </t>
        </is>
      </c>
      <c r="U246" t="n">
        <v>2</v>
      </c>
      <c r="V246" t="n">
        <v>2</v>
      </c>
      <c r="W246" t="inlineStr">
        <is>
          <t>1995-11-07</t>
        </is>
      </c>
      <c r="X246" t="inlineStr">
        <is>
          <t>1995-11-07</t>
        </is>
      </c>
      <c r="Y246" t="inlineStr">
        <is>
          <t>1994-02-03</t>
        </is>
      </c>
      <c r="Z246" t="inlineStr">
        <is>
          <t>1994-02-03</t>
        </is>
      </c>
      <c r="AA246" t="n">
        <v>957</v>
      </c>
      <c r="AB246" t="n">
        <v>906</v>
      </c>
      <c r="AC246" t="n">
        <v>912</v>
      </c>
      <c r="AD246" t="n">
        <v>10</v>
      </c>
      <c r="AE246" t="n">
        <v>10</v>
      </c>
      <c r="AF246" t="n">
        <v>41</v>
      </c>
      <c r="AG246" t="n">
        <v>41</v>
      </c>
      <c r="AH246" t="n">
        <v>15</v>
      </c>
      <c r="AI246" t="n">
        <v>15</v>
      </c>
      <c r="AJ246" t="n">
        <v>7</v>
      </c>
      <c r="AK246" t="n">
        <v>7</v>
      </c>
      <c r="AL246" t="n">
        <v>15</v>
      </c>
      <c r="AM246" t="n">
        <v>15</v>
      </c>
      <c r="AN246" t="n">
        <v>9</v>
      </c>
      <c r="AO246" t="n">
        <v>9</v>
      </c>
      <c r="AP246" t="n">
        <v>0</v>
      </c>
      <c r="AQ246" t="n">
        <v>0</v>
      </c>
      <c r="AR246" t="inlineStr">
        <is>
          <t>No</t>
        </is>
      </c>
      <c r="AS246" t="inlineStr">
        <is>
          <t>No</t>
        </is>
      </c>
      <c r="AU246">
        <f>HYPERLINK("https://creighton-primo.hosted.exlibrisgroup.com/primo-explore/search?tab=default_tab&amp;search_scope=EVERYTHING&amp;vid=01CRU&amp;lang=en_US&amp;offset=0&amp;query=any,contains,991001223859702656","Catalog Record")</f>
        <v/>
      </c>
      <c r="AV246">
        <f>HYPERLINK("http://www.worldcat.org/oclc/198489","WorldCat Record")</f>
        <v/>
      </c>
      <c r="AW246" t="inlineStr">
        <is>
          <t>9622218806:eng</t>
        </is>
      </c>
      <c r="AX246" t="inlineStr">
        <is>
          <t>198489</t>
        </is>
      </c>
      <c r="AY246" t="inlineStr">
        <is>
          <t>991001223859702656</t>
        </is>
      </c>
      <c r="AZ246" t="inlineStr">
        <is>
          <t>991001223859702656</t>
        </is>
      </c>
      <c r="BA246" t="inlineStr">
        <is>
          <t>2271417740002656</t>
        </is>
      </c>
      <c r="BB246" t="inlineStr">
        <is>
          <t>BOOK</t>
        </is>
      </c>
      <c r="BD246" t="inlineStr">
        <is>
          <t>9780671210137</t>
        </is>
      </c>
      <c r="BE246" t="inlineStr">
        <is>
          <t>32285001836963</t>
        </is>
      </c>
      <c r="BF246" t="inlineStr">
        <is>
          <t>893256116</t>
        </is>
      </c>
    </row>
    <row r="247">
      <c r="A247" t="inlineStr">
        <is>
          <t>No</t>
        </is>
      </c>
      <c r="B247" t="inlineStr">
        <is>
          <t>CURAL</t>
        </is>
      </c>
      <c r="C247" t="inlineStr">
        <is>
          <t>SHELVES</t>
        </is>
      </c>
      <c r="D247" t="inlineStr">
        <is>
          <t>PQ2631.R63 Z7825</t>
        </is>
      </c>
      <c r="E247" t="inlineStr">
        <is>
          <t>0                      PQ 2631000R  63                 Z  7825</t>
        </is>
      </c>
      <c r="F247" t="inlineStr">
        <is>
          <t>Le monde de Marcel Proust / documentation photographique: Marie-Thérèse May.</t>
        </is>
      </c>
      <c r="H247" t="inlineStr">
        <is>
          <t>No</t>
        </is>
      </c>
      <c r="I247" t="inlineStr">
        <is>
          <t>1</t>
        </is>
      </c>
      <c r="J247" t="inlineStr">
        <is>
          <t>No</t>
        </is>
      </c>
      <c r="K247" t="inlineStr">
        <is>
          <t>No</t>
        </is>
      </c>
      <c r="L247" t="inlineStr">
        <is>
          <t>0</t>
        </is>
      </c>
      <c r="M247" t="inlineStr">
        <is>
          <t>Maurois, André, 1885-1967.</t>
        </is>
      </c>
      <c r="N247" t="inlineStr">
        <is>
          <t>[Paris] : Hachette, [1960]</t>
        </is>
      </c>
      <c r="O247" t="inlineStr">
        <is>
          <t>1960</t>
        </is>
      </c>
      <c r="Q247" t="inlineStr">
        <is>
          <t>fre</t>
        </is>
      </c>
      <c r="R247" t="inlineStr">
        <is>
          <t xml:space="preserve">fr </t>
        </is>
      </c>
      <c r="S247" t="inlineStr">
        <is>
          <t>Tout par l'image ; 31</t>
        </is>
      </c>
      <c r="T247" t="inlineStr">
        <is>
          <t xml:space="preserve">PQ </t>
        </is>
      </c>
      <c r="U247" t="n">
        <v>4</v>
      </c>
      <c r="V247" t="n">
        <v>4</v>
      </c>
      <c r="W247" t="inlineStr">
        <is>
          <t>1998-04-16</t>
        </is>
      </c>
      <c r="X247" t="inlineStr">
        <is>
          <t>1998-04-16</t>
        </is>
      </c>
      <c r="Y247" t="inlineStr">
        <is>
          <t>1994-02-03</t>
        </is>
      </c>
      <c r="Z247" t="inlineStr">
        <is>
          <t>1994-02-03</t>
        </is>
      </c>
      <c r="AA247" t="n">
        <v>368</v>
      </c>
      <c r="AB247" t="n">
        <v>281</v>
      </c>
      <c r="AC247" t="n">
        <v>283</v>
      </c>
      <c r="AD247" t="n">
        <v>4</v>
      </c>
      <c r="AE247" t="n">
        <v>4</v>
      </c>
      <c r="AF247" t="n">
        <v>13</v>
      </c>
      <c r="AG247" t="n">
        <v>13</v>
      </c>
      <c r="AH247" t="n">
        <v>5</v>
      </c>
      <c r="AI247" t="n">
        <v>5</v>
      </c>
      <c r="AJ247" t="n">
        <v>2</v>
      </c>
      <c r="AK247" t="n">
        <v>2</v>
      </c>
      <c r="AL247" t="n">
        <v>6</v>
      </c>
      <c r="AM247" t="n">
        <v>6</v>
      </c>
      <c r="AN247" t="n">
        <v>3</v>
      </c>
      <c r="AO247" t="n">
        <v>3</v>
      </c>
      <c r="AP247" t="n">
        <v>0</v>
      </c>
      <c r="AQ247" t="n">
        <v>0</v>
      </c>
      <c r="AR247" t="inlineStr">
        <is>
          <t>No</t>
        </is>
      </c>
      <c r="AS247" t="inlineStr">
        <is>
          <t>Yes</t>
        </is>
      </c>
      <c r="AT247">
        <f>HYPERLINK("http://catalog.hathitrust.org/Record/001214943","HathiTrust Record")</f>
        <v/>
      </c>
      <c r="AU247">
        <f>HYPERLINK("https://creighton-primo.hosted.exlibrisgroup.com/primo-explore/search?tab=default_tab&amp;search_scope=EVERYTHING&amp;vid=01CRU&amp;lang=en_US&amp;offset=0&amp;query=any,contains,991001529319702656","Catalog Record")</f>
        <v/>
      </c>
      <c r="AV247">
        <f>HYPERLINK("http://www.worldcat.org/oclc/232328","WorldCat Record")</f>
        <v/>
      </c>
      <c r="AW247" t="inlineStr">
        <is>
          <t>181042861:fre</t>
        </is>
      </c>
      <c r="AX247" t="inlineStr">
        <is>
          <t>232328</t>
        </is>
      </c>
      <c r="AY247" t="inlineStr">
        <is>
          <t>991001529319702656</t>
        </is>
      </c>
      <c r="AZ247" t="inlineStr">
        <is>
          <t>991001529319702656</t>
        </is>
      </c>
      <c r="BA247" t="inlineStr">
        <is>
          <t>2258569080002656</t>
        </is>
      </c>
      <c r="BB247" t="inlineStr">
        <is>
          <t>BOOK</t>
        </is>
      </c>
      <c r="BE247" t="inlineStr">
        <is>
          <t>32285001836955</t>
        </is>
      </c>
      <c r="BF247" t="inlineStr">
        <is>
          <t>893225904</t>
        </is>
      </c>
    </row>
    <row r="248">
      <c r="A248" t="inlineStr">
        <is>
          <t>No</t>
        </is>
      </c>
      <c r="B248" t="inlineStr">
        <is>
          <t>CURAL</t>
        </is>
      </c>
      <c r="C248" t="inlineStr">
        <is>
          <t>SHELVES</t>
        </is>
      </c>
      <c r="D248" t="inlineStr">
        <is>
          <t>PQ2631.R63 Z7896</t>
        </is>
      </c>
      <c r="E248" t="inlineStr">
        <is>
          <t>0                      PQ 2631000R  63                 Z  7896</t>
        </is>
      </c>
      <c r="F248" t="inlineStr">
        <is>
          <t>Proust / by George D. Painter. Maps drawn by Samuel H. Bryant.</t>
        </is>
      </c>
      <c r="G248" t="inlineStr">
        <is>
          <t>V.1</t>
        </is>
      </c>
      <c r="H248" t="inlineStr">
        <is>
          <t>Yes</t>
        </is>
      </c>
      <c r="I248" t="inlineStr">
        <is>
          <t>1</t>
        </is>
      </c>
      <c r="J248" t="inlineStr">
        <is>
          <t>No</t>
        </is>
      </c>
      <c r="K248" t="inlineStr">
        <is>
          <t>No</t>
        </is>
      </c>
      <c r="L248" t="inlineStr">
        <is>
          <t>0</t>
        </is>
      </c>
      <c r="M248" t="inlineStr">
        <is>
          <t>Painter, George D. (George Duncan), 1914-2005.</t>
        </is>
      </c>
      <c r="N248" t="inlineStr">
        <is>
          <t>Boston : Little, Brown, [1959-1965]</t>
        </is>
      </c>
      <c r="O248" t="inlineStr">
        <is>
          <t>1959</t>
        </is>
      </c>
      <c r="P248" t="inlineStr">
        <is>
          <t>[1st ed.]</t>
        </is>
      </c>
      <c r="Q248" t="inlineStr">
        <is>
          <t>eng</t>
        </is>
      </c>
      <c r="R248" t="inlineStr">
        <is>
          <t>mau</t>
        </is>
      </c>
      <c r="T248" t="inlineStr">
        <is>
          <t xml:space="preserve">PQ </t>
        </is>
      </c>
      <c r="U248" t="n">
        <v>2</v>
      </c>
      <c r="V248" t="n">
        <v>4</v>
      </c>
      <c r="W248" t="inlineStr">
        <is>
          <t>1995-08-04</t>
        </is>
      </c>
      <c r="X248" t="inlineStr">
        <is>
          <t>1995-08-04</t>
        </is>
      </c>
      <c r="Y248" t="inlineStr">
        <is>
          <t>1995-05-18</t>
        </is>
      </c>
      <c r="Z248" t="inlineStr">
        <is>
          <t>1995-05-18</t>
        </is>
      </c>
      <c r="AA248" t="n">
        <v>1057</v>
      </c>
      <c r="AB248" t="n">
        <v>1013</v>
      </c>
      <c r="AC248" t="n">
        <v>1019</v>
      </c>
      <c r="AD248" t="n">
        <v>7</v>
      </c>
      <c r="AE248" t="n">
        <v>7</v>
      </c>
      <c r="AF248" t="n">
        <v>35</v>
      </c>
      <c r="AG248" t="n">
        <v>35</v>
      </c>
      <c r="AH248" t="n">
        <v>12</v>
      </c>
      <c r="AI248" t="n">
        <v>12</v>
      </c>
      <c r="AJ248" t="n">
        <v>8</v>
      </c>
      <c r="AK248" t="n">
        <v>8</v>
      </c>
      <c r="AL248" t="n">
        <v>19</v>
      </c>
      <c r="AM248" t="n">
        <v>19</v>
      </c>
      <c r="AN248" t="n">
        <v>5</v>
      </c>
      <c r="AO248" t="n">
        <v>5</v>
      </c>
      <c r="AP248" t="n">
        <v>0</v>
      </c>
      <c r="AQ248" t="n">
        <v>0</v>
      </c>
      <c r="AR248" t="inlineStr">
        <is>
          <t>No</t>
        </is>
      </c>
      <c r="AS248" t="inlineStr">
        <is>
          <t>Yes</t>
        </is>
      </c>
      <c r="AT248">
        <f>HYPERLINK("http://catalog.hathitrust.org/Record/004461065","HathiTrust Record")</f>
        <v/>
      </c>
      <c r="AU248">
        <f>HYPERLINK("https://creighton-primo.hosted.exlibrisgroup.com/primo-explore/search?tab=default_tab&amp;search_scope=EVERYTHING&amp;vid=01CRU&amp;lang=en_US&amp;offset=0&amp;query=any,contains,991003581779702656","Catalog Record")</f>
        <v/>
      </c>
      <c r="AV248">
        <f>HYPERLINK("http://www.worldcat.org/oclc/1163045","WorldCat Record")</f>
        <v/>
      </c>
      <c r="AW248" t="inlineStr">
        <is>
          <t>3901307311:eng</t>
        </is>
      </c>
      <c r="AX248" t="inlineStr">
        <is>
          <t>1163045</t>
        </is>
      </c>
      <c r="AY248" t="inlineStr">
        <is>
          <t>991003581779702656</t>
        </is>
      </c>
      <c r="AZ248" t="inlineStr">
        <is>
          <t>991003581779702656</t>
        </is>
      </c>
      <c r="BA248" t="inlineStr">
        <is>
          <t>2265758960002656</t>
        </is>
      </c>
      <c r="BB248" t="inlineStr">
        <is>
          <t>BOOK</t>
        </is>
      </c>
      <c r="BE248" t="inlineStr">
        <is>
          <t>32285002034642</t>
        </is>
      </c>
      <c r="BF248" t="inlineStr">
        <is>
          <t>893524982</t>
        </is>
      </c>
    </row>
    <row r="249">
      <c r="A249" t="inlineStr">
        <is>
          <t>No</t>
        </is>
      </c>
      <c r="B249" t="inlineStr">
        <is>
          <t>CURAL</t>
        </is>
      </c>
      <c r="C249" t="inlineStr">
        <is>
          <t>SHELVES</t>
        </is>
      </c>
      <c r="D249" t="inlineStr">
        <is>
          <t>PQ2631.R63 Z7896</t>
        </is>
      </c>
      <c r="E249" t="inlineStr">
        <is>
          <t>0                      PQ 2631000R  63                 Z  7896</t>
        </is>
      </c>
      <c r="F249" t="inlineStr">
        <is>
          <t>Proust / by George D. Painter. Maps drawn by Samuel H. Bryant.</t>
        </is>
      </c>
      <c r="G249" t="inlineStr">
        <is>
          <t>V.2</t>
        </is>
      </c>
      <c r="H249" t="inlineStr">
        <is>
          <t>Yes</t>
        </is>
      </c>
      <c r="I249" t="inlineStr">
        <is>
          <t>1</t>
        </is>
      </c>
      <c r="J249" t="inlineStr">
        <is>
          <t>No</t>
        </is>
      </c>
      <c r="K249" t="inlineStr">
        <is>
          <t>No</t>
        </is>
      </c>
      <c r="L249" t="inlineStr">
        <is>
          <t>0</t>
        </is>
      </c>
      <c r="M249" t="inlineStr">
        <is>
          <t>Painter, George D. (George Duncan), 1914-2005.</t>
        </is>
      </c>
      <c r="N249" t="inlineStr">
        <is>
          <t>Boston : Little, Brown, [1959-1965]</t>
        </is>
      </c>
      <c r="O249" t="inlineStr">
        <is>
          <t>1959</t>
        </is>
      </c>
      <c r="P249" t="inlineStr">
        <is>
          <t>[1st ed.]</t>
        </is>
      </c>
      <c r="Q249" t="inlineStr">
        <is>
          <t>eng</t>
        </is>
      </c>
      <c r="R249" t="inlineStr">
        <is>
          <t>mau</t>
        </is>
      </c>
      <c r="T249" t="inlineStr">
        <is>
          <t xml:space="preserve">PQ </t>
        </is>
      </c>
      <c r="U249" t="n">
        <v>2</v>
      </c>
      <c r="V249" t="n">
        <v>4</v>
      </c>
      <c r="W249" t="inlineStr">
        <is>
          <t>1995-08-04</t>
        </is>
      </c>
      <c r="X249" t="inlineStr">
        <is>
          <t>1995-08-04</t>
        </is>
      </c>
      <c r="Y249" t="inlineStr">
        <is>
          <t>1995-05-18</t>
        </is>
      </c>
      <c r="Z249" t="inlineStr">
        <is>
          <t>1995-05-18</t>
        </is>
      </c>
      <c r="AA249" t="n">
        <v>1057</v>
      </c>
      <c r="AB249" t="n">
        <v>1013</v>
      </c>
      <c r="AC249" t="n">
        <v>1019</v>
      </c>
      <c r="AD249" t="n">
        <v>7</v>
      </c>
      <c r="AE249" t="n">
        <v>7</v>
      </c>
      <c r="AF249" t="n">
        <v>35</v>
      </c>
      <c r="AG249" t="n">
        <v>35</v>
      </c>
      <c r="AH249" t="n">
        <v>12</v>
      </c>
      <c r="AI249" t="n">
        <v>12</v>
      </c>
      <c r="AJ249" t="n">
        <v>8</v>
      </c>
      <c r="AK249" t="n">
        <v>8</v>
      </c>
      <c r="AL249" t="n">
        <v>19</v>
      </c>
      <c r="AM249" t="n">
        <v>19</v>
      </c>
      <c r="AN249" t="n">
        <v>5</v>
      </c>
      <c r="AO249" t="n">
        <v>5</v>
      </c>
      <c r="AP249" t="n">
        <v>0</v>
      </c>
      <c r="AQ249" t="n">
        <v>0</v>
      </c>
      <c r="AR249" t="inlineStr">
        <is>
          <t>No</t>
        </is>
      </c>
      <c r="AS249" t="inlineStr">
        <is>
          <t>Yes</t>
        </is>
      </c>
      <c r="AT249">
        <f>HYPERLINK("http://catalog.hathitrust.org/Record/004461065","HathiTrust Record")</f>
        <v/>
      </c>
      <c r="AU249">
        <f>HYPERLINK("https://creighton-primo.hosted.exlibrisgroup.com/primo-explore/search?tab=default_tab&amp;search_scope=EVERYTHING&amp;vid=01CRU&amp;lang=en_US&amp;offset=0&amp;query=any,contains,991003581779702656","Catalog Record")</f>
        <v/>
      </c>
      <c r="AV249">
        <f>HYPERLINK("http://www.worldcat.org/oclc/1163045","WorldCat Record")</f>
        <v/>
      </c>
      <c r="AW249" t="inlineStr">
        <is>
          <t>3901307311:eng</t>
        </is>
      </c>
      <c r="AX249" t="inlineStr">
        <is>
          <t>1163045</t>
        </is>
      </c>
      <c r="AY249" t="inlineStr">
        <is>
          <t>991003581779702656</t>
        </is>
      </c>
      <c r="AZ249" t="inlineStr">
        <is>
          <t>991003581779702656</t>
        </is>
      </c>
      <c r="BA249" t="inlineStr">
        <is>
          <t>2265758960002656</t>
        </is>
      </c>
      <c r="BB249" t="inlineStr">
        <is>
          <t>BOOK</t>
        </is>
      </c>
      <c r="BE249" t="inlineStr">
        <is>
          <t>32285002034659</t>
        </is>
      </c>
      <c r="BF249" t="inlineStr">
        <is>
          <t>893531329</t>
        </is>
      </c>
    </row>
    <row r="250">
      <c r="A250" t="inlineStr">
        <is>
          <t>No</t>
        </is>
      </c>
      <c r="B250" t="inlineStr">
        <is>
          <t>CURAL</t>
        </is>
      </c>
      <c r="C250" t="inlineStr">
        <is>
          <t>SHELVES</t>
        </is>
      </c>
      <c r="D250" t="inlineStr">
        <is>
          <t>PQ2631.R63 Z837</t>
        </is>
      </c>
      <c r="E250" t="inlineStr">
        <is>
          <t>0                      PQ 2631000R  63                 Z  837</t>
        </is>
      </c>
      <c r="F250" t="inlineStr">
        <is>
          <t>Proust and his world.</t>
        </is>
      </c>
      <c r="H250" t="inlineStr">
        <is>
          <t>No</t>
        </is>
      </c>
      <c r="I250" t="inlineStr">
        <is>
          <t>1</t>
        </is>
      </c>
      <c r="J250" t="inlineStr">
        <is>
          <t>No</t>
        </is>
      </c>
      <c r="K250" t="inlineStr">
        <is>
          <t>No</t>
        </is>
      </c>
      <c r="L250" t="inlineStr">
        <is>
          <t>0</t>
        </is>
      </c>
      <c r="M250" t="inlineStr">
        <is>
          <t>Sansom, William, 1912-1976.</t>
        </is>
      </c>
      <c r="N250" t="inlineStr">
        <is>
          <t>London : Thames &amp; Hudson, [1973]</t>
        </is>
      </c>
      <c r="O250" t="inlineStr">
        <is>
          <t>1973</t>
        </is>
      </c>
      <c r="Q250" t="inlineStr">
        <is>
          <t>eng</t>
        </is>
      </c>
      <c r="R250" t="inlineStr">
        <is>
          <t>enk</t>
        </is>
      </c>
      <c r="T250" t="inlineStr">
        <is>
          <t xml:space="preserve">PQ </t>
        </is>
      </c>
      <c r="U250" t="n">
        <v>2</v>
      </c>
      <c r="V250" t="n">
        <v>2</v>
      </c>
      <c r="W250" t="inlineStr">
        <is>
          <t>1997-08-18</t>
        </is>
      </c>
      <c r="X250" t="inlineStr">
        <is>
          <t>1997-08-18</t>
        </is>
      </c>
      <c r="Y250" t="inlineStr">
        <is>
          <t>1994-02-03</t>
        </is>
      </c>
      <c r="Z250" t="inlineStr">
        <is>
          <t>1994-02-03</t>
        </is>
      </c>
      <c r="AA250" t="n">
        <v>329</v>
      </c>
      <c r="AB250" t="n">
        <v>154</v>
      </c>
      <c r="AC250" t="n">
        <v>653</v>
      </c>
      <c r="AD250" t="n">
        <v>2</v>
      </c>
      <c r="AE250" t="n">
        <v>4</v>
      </c>
      <c r="AF250" t="n">
        <v>4</v>
      </c>
      <c r="AG250" t="n">
        <v>18</v>
      </c>
      <c r="AH250" t="n">
        <v>1</v>
      </c>
      <c r="AI250" t="n">
        <v>6</v>
      </c>
      <c r="AJ250" t="n">
        <v>1</v>
      </c>
      <c r="AK250" t="n">
        <v>5</v>
      </c>
      <c r="AL250" t="n">
        <v>2</v>
      </c>
      <c r="AM250" t="n">
        <v>9</v>
      </c>
      <c r="AN250" t="n">
        <v>1</v>
      </c>
      <c r="AO250" t="n">
        <v>2</v>
      </c>
      <c r="AP250" t="n">
        <v>0</v>
      </c>
      <c r="AQ250" t="n">
        <v>0</v>
      </c>
      <c r="AR250" t="inlineStr">
        <is>
          <t>No</t>
        </is>
      </c>
      <c r="AS250" t="inlineStr">
        <is>
          <t>No</t>
        </is>
      </c>
      <c r="AU250">
        <f>HYPERLINK("https://creighton-primo.hosted.exlibrisgroup.com/primo-explore/search?tab=default_tab&amp;search_scope=EVERYTHING&amp;vid=01CRU&amp;lang=en_US&amp;offset=0&amp;query=any,contains,991003239549702656","Catalog Record")</f>
        <v/>
      </c>
      <c r="AV250">
        <f>HYPERLINK("http://www.worldcat.org/oclc/762884","WorldCat Record")</f>
        <v/>
      </c>
      <c r="AW250" t="inlineStr">
        <is>
          <t>1642077:eng</t>
        </is>
      </c>
      <c r="AX250" t="inlineStr">
        <is>
          <t>762884</t>
        </is>
      </c>
      <c r="AY250" t="inlineStr">
        <is>
          <t>991003239549702656</t>
        </is>
      </c>
      <c r="AZ250" t="inlineStr">
        <is>
          <t>991003239549702656</t>
        </is>
      </c>
      <c r="BA250" t="inlineStr">
        <is>
          <t>2265268310002656</t>
        </is>
      </c>
      <c r="BB250" t="inlineStr">
        <is>
          <t>BOOK</t>
        </is>
      </c>
      <c r="BD250" t="inlineStr">
        <is>
          <t>9780500130445</t>
        </is>
      </c>
      <c r="BE250" t="inlineStr">
        <is>
          <t>32285001836948</t>
        </is>
      </c>
      <c r="BF250" t="inlineStr">
        <is>
          <t>893422332</t>
        </is>
      </c>
    </row>
    <row r="251">
      <c r="A251" t="inlineStr">
        <is>
          <t>No</t>
        </is>
      </c>
      <c r="B251" t="inlineStr">
        <is>
          <t>CURAL</t>
        </is>
      </c>
      <c r="C251" t="inlineStr">
        <is>
          <t>SHELVES</t>
        </is>
      </c>
      <c r="D251" t="inlineStr">
        <is>
          <t>PQ2631.R63 Z918 1980</t>
        </is>
      </c>
      <c r="E251" t="inlineStr">
        <is>
          <t>0                      PQ 2631000R  63                 Z  918         1980</t>
        </is>
      </c>
      <c r="F251" t="inlineStr">
        <is>
          <t>Maladies of Marcel Proust : doctors and disease in his life and work / Bernard Straus.</t>
        </is>
      </c>
      <c r="H251" t="inlineStr">
        <is>
          <t>No</t>
        </is>
      </c>
      <c r="I251" t="inlineStr">
        <is>
          <t>1</t>
        </is>
      </c>
      <c r="J251" t="inlineStr">
        <is>
          <t>No</t>
        </is>
      </c>
      <c r="K251" t="inlineStr">
        <is>
          <t>No</t>
        </is>
      </c>
      <c r="L251" t="inlineStr">
        <is>
          <t>0</t>
        </is>
      </c>
      <c r="M251" t="inlineStr">
        <is>
          <t>Straus, Bernard.</t>
        </is>
      </c>
      <c r="N251" t="inlineStr">
        <is>
          <t>New York : Holmes &amp; Meier, 1980.</t>
        </is>
      </c>
      <c r="O251" t="inlineStr">
        <is>
          <t>1980</t>
        </is>
      </c>
      <c r="Q251" t="inlineStr">
        <is>
          <t>eng</t>
        </is>
      </c>
      <c r="R251" t="inlineStr">
        <is>
          <t>nyu</t>
        </is>
      </c>
      <c r="T251" t="inlineStr">
        <is>
          <t xml:space="preserve">PQ </t>
        </is>
      </c>
      <c r="U251" t="n">
        <v>4</v>
      </c>
      <c r="V251" t="n">
        <v>4</v>
      </c>
      <c r="W251" t="inlineStr">
        <is>
          <t>1997-03-24</t>
        </is>
      </c>
      <c r="X251" t="inlineStr">
        <is>
          <t>1997-03-24</t>
        </is>
      </c>
      <c r="Y251" t="inlineStr">
        <is>
          <t>1991-05-14</t>
        </is>
      </c>
      <c r="Z251" t="inlineStr">
        <is>
          <t>1991-05-14</t>
        </is>
      </c>
      <c r="AA251" t="n">
        <v>229</v>
      </c>
      <c r="AB251" t="n">
        <v>178</v>
      </c>
      <c r="AC251" t="n">
        <v>183</v>
      </c>
      <c r="AD251" t="n">
        <v>2</v>
      </c>
      <c r="AE251" t="n">
        <v>2</v>
      </c>
      <c r="AF251" t="n">
        <v>6</v>
      </c>
      <c r="AG251" t="n">
        <v>6</v>
      </c>
      <c r="AH251" t="n">
        <v>1</v>
      </c>
      <c r="AI251" t="n">
        <v>1</v>
      </c>
      <c r="AJ251" t="n">
        <v>3</v>
      </c>
      <c r="AK251" t="n">
        <v>3</v>
      </c>
      <c r="AL251" t="n">
        <v>4</v>
      </c>
      <c r="AM251" t="n">
        <v>4</v>
      </c>
      <c r="AN251" t="n">
        <v>1</v>
      </c>
      <c r="AO251" t="n">
        <v>1</v>
      </c>
      <c r="AP251" t="n">
        <v>0</v>
      </c>
      <c r="AQ251" t="n">
        <v>0</v>
      </c>
      <c r="AR251" t="inlineStr">
        <is>
          <t>No</t>
        </is>
      </c>
      <c r="AS251" t="inlineStr">
        <is>
          <t>Yes</t>
        </is>
      </c>
      <c r="AT251">
        <f>HYPERLINK("http://catalog.hathitrust.org/Record/000746330","HathiTrust Record")</f>
        <v/>
      </c>
      <c r="AU251">
        <f>HYPERLINK("https://creighton-primo.hosted.exlibrisgroup.com/primo-explore/search?tab=default_tab&amp;search_scope=EVERYTHING&amp;vid=01CRU&amp;lang=en_US&amp;offset=0&amp;query=any,contains,991004929749702656","Catalog Record")</f>
        <v/>
      </c>
      <c r="AV251">
        <f>HYPERLINK("http://www.worldcat.org/oclc/6092169","WorldCat Record")</f>
        <v/>
      </c>
      <c r="AW251" t="inlineStr">
        <is>
          <t>292470403:eng</t>
        </is>
      </c>
      <c r="AX251" t="inlineStr">
        <is>
          <t>6092169</t>
        </is>
      </c>
      <c r="AY251" t="inlineStr">
        <is>
          <t>991004929749702656</t>
        </is>
      </c>
      <c r="AZ251" t="inlineStr">
        <is>
          <t>991004929749702656</t>
        </is>
      </c>
      <c r="BA251" t="inlineStr">
        <is>
          <t>2263563530002656</t>
        </is>
      </c>
      <c r="BB251" t="inlineStr">
        <is>
          <t>BOOK</t>
        </is>
      </c>
      <c r="BD251" t="inlineStr">
        <is>
          <t>9780841905467</t>
        </is>
      </c>
      <c r="BE251" t="inlineStr">
        <is>
          <t>32285000604669</t>
        </is>
      </c>
      <c r="BF251" t="inlineStr">
        <is>
          <t>893236068</t>
        </is>
      </c>
    </row>
    <row r="252">
      <c r="A252" t="inlineStr">
        <is>
          <t>No</t>
        </is>
      </c>
      <c r="B252" t="inlineStr">
        <is>
          <t>CURAL</t>
        </is>
      </c>
      <c r="C252" t="inlineStr">
        <is>
          <t>SHELVES</t>
        </is>
      </c>
      <c r="D252" t="inlineStr">
        <is>
          <t>PQ2635.O117 Z63 1983</t>
        </is>
      </c>
      <c r="E252" t="inlineStr">
        <is>
          <t>0                      PQ 2635000O  117                Z  63          1983</t>
        </is>
      </c>
      <c r="F252" t="inlineStr">
        <is>
          <t>Alain Robbe-Grillet / John Fletcher.</t>
        </is>
      </c>
      <c r="H252" t="inlineStr">
        <is>
          <t>No</t>
        </is>
      </c>
      <c r="I252" t="inlineStr">
        <is>
          <t>1</t>
        </is>
      </c>
      <c r="J252" t="inlineStr">
        <is>
          <t>No</t>
        </is>
      </c>
      <c r="K252" t="inlineStr">
        <is>
          <t>No</t>
        </is>
      </c>
      <c r="L252" t="inlineStr">
        <is>
          <t>0</t>
        </is>
      </c>
      <c r="M252" t="inlineStr">
        <is>
          <t>Fletcher, John, 1937-</t>
        </is>
      </c>
      <c r="N252" t="inlineStr">
        <is>
          <t>London ; New York : Methuen, 1983.</t>
        </is>
      </c>
      <c r="O252" t="inlineStr">
        <is>
          <t>1983</t>
        </is>
      </c>
      <c r="Q252" t="inlineStr">
        <is>
          <t>eng</t>
        </is>
      </c>
      <c r="R252" t="inlineStr">
        <is>
          <t>enk</t>
        </is>
      </c>
      <c r="S252" t="inlineStr">
        <is>
          <t>Contemporary writers</t>
        </is>
      </c>
      <c r="T252" t="inlineStr">
        <is>
          <t xml:space="preserve">PQ </t>
        </is>
      </c>
      <c r="U252" t="n">
        <v>6</v>
      </c>
      <c r="V252" t="n">
        <v>6</v>
      </c>
      <c r="W252" t="inlineStr">
        <is>
          <t>2003-05-05</t>
        </is>
      </c>
      <c r="X252" t="inlineStr">
        <is>
          <t>2003-05-05</t>
        </is>
      </c>
      <c r="Y252" t="inlineStr">
        <is>
          <t>1991-05-14</t>
        </is>
      </c>
      <c r="Z252" t="inlineStr">
        <is>
          <t>1991-05-14</t>
        </is>
      </c>
      <c r="AA252" t="n">
        <v>485</v>
      </c>
      <c r="AB252" t="n">
        <v>345</v>
      </c>
      <c r="AC252" t="n">
        <v>373</v>
      </c>
      <c r="AD252" t="n">
        <v>3</v>
      </c>
      <c r="AE252" t="n">
        <v>3</v>
      </c>
      <c r="AF252" t="n">
        <v>18</v>
      </c>
      <c r="AG252" t="n">
        <v>18</v>
      </c>
      <c r="AH252" t="n">
        <v>7</v>
      </c>
      <c r="AI252" t="n">
        <v>7</v>
      </c>
      <c r="AJ252" t="n">
        <v>6</v>
      </c>
      <c r="AK252" t="n">
        <v>6</v>
      </c>
      <c r="AL252" t="n">
        <v>10</v>
      </c>
      <c r="AM252" t="n">
        <v>10</v>
      </c>
      <c r="AN252" t="n">
        <v>2</v>
      </c>
      <c r="AO252" t="n">
        <v>2</v>
      </c>
      <c r="AP252" t="n">
        <v>0</v>
      </c>
      <c r="AQ252" t="n">
        <v>0</v>
      </c>
      <c r="AR252" t="inlineStr">
        <is>
          <t>No</t>
        </is>
      </c>
      <c r="AS252" t="inlineStr">
        <is>
          <t>No</t>
        </is>
      </c>
      <c r="AU252">
        <f>HYPERLINK("https://creighton-primo.hosted.exlibrisgroup.com/primo-explore/search?tab=default_tab&amp;search_scope=EVERYTHING&amp;vid=01CRU&amp;lang=en_US&amp;offset=0&amp;query=any,contains,991000242899702656","Catalog Record")</f>
        <v/>
      </c>
      <c r="AV252">
        <f>HYPERLINK("http://www.worldcat.org/oclc/9685892","WorldCat Record")</f>
        <v/>
      </c>
      <c r="AW252" t="inlineStr">
        <is>
          <t>3943639009:eng</t>
        </is>
      </c>
      <c r="AX252" t="inlineStr">
        <is>
          <t>9685892</t>
        </is>
      </c>
      <c r="AY252" t="inlineStr">
        <is>
          <t>991000242899702656</t>
        </is>
      </c>
      <c r="AZ252" t="inlineStr">
        <is>
          <t>991000242899702656</t>
        </is>
      </c>
      <c r="BA252" t="inlineStr">
        <is>
          <t>2263456430002656</t>
        </is>
      </c>
      <c r="BB252" t="inlineStr">
        <is>
          <t>BOOK</t>
        </is>
      </c>
      <c r="BD252" t="inlineStr">
        <is>
          <t>9780416344202</t>
        </is>
      </c>
      <c r="BE252" t="inlineStr">
        <is>
          <t>32285000604727</t>
        </is>
      </c>
      <c r="BF252" t="inlineStr">
        <is>
          <t>893333330</t>
        </is>
      </c>
    </row>
    <row r="253">
      <c r="A253" t="inlineStr">
        <is>
          <t>No</t>
        </is>
      </c>
      <c r="B253" t="inlineStr">
        <is>
          <t>CURAL</t>
        </is>
      </c>
      <c r="C253" t="inlineStr">
        <is>
          <t>SHELVES</t>
        </is>
      </c>
      <c r="D253" t="inlineStr">
        <is>
          <t>PQ2635.O117 Z75</t>
        </is>
      </c>
      <c r="E253" t="inlineStr">
        <is>
          <t>0                      PQ 2635000O  117                Z  75</t>
        </is>
      </c>
      <c r="F253" t="inlineStr">
        <is>
          <t>Alain Robbe-Grillet / by Bruce Morrissette.</t>
        </is>
      </c>
      <c r="H253" t="inlineStr">
        <is>
          <t>No</t>
        </is>
      </c>
      <c r="I253" t="inlineStr">
        <is>
          <t>1</t>
        </is>
      </c>
      <c r="J253" t="inlineStr">
        <is>
          <t>No</t>
        </is>
      </c>
      <c r="K253" t="inlineStr">
        <is>
          <t>No</t>
        </is>
      </c>
      <c r="L253" t="inlineStr">
        <is>
          <t>0</t>
        </is>
      </c>
      <c r="M253" t="inlineStr">
        <is>
          <t>Morrissette, Bruce, 1911-2000.</t>
        </is>
      </c>
      <c r="N253" t="inlineStr">
        <is>
          <t>New York : Columbia University Press, 1965.</t>
        </is>
      </c>
      <c r="O253" t="inlineStr">
        <is>
          <t>1965</t>
        </is>
      </c>
      <c r="Q253" t="inlineStr">
        <is>
          <t>eng</t>
        </is>
      </c>
      <c r="R253" t="inlineStr">
        <is>
          <t>nyu</t>
        </is>
      </c>
      <c r="S253" t="inlineStr">
        <is>
          <t>Columbia essays on modern writers ; no. 11</t>
        </is>
      </c>
      <c r="T253" t="inlineStr">
        <is>
          <t xml:space="preserve">PQ </t>
        </is>
      </c>
      <c r="U253" t="n">
        <v>2</v>
      </c>
      <c r="V253" t="n">
        <v>2</v>
      </c>
      <c r="W253" t="inlineStr">
        <is>
          <t>1995-04-26</t>
        </is>
      </c>
      <c r="X253" t="inlineStr">
        <is>
          <t>1995-04-26</t>
        </is>
      </c>
      <c r="Y253" t="inlineStr">
        <is>
          <t>1992-05-01</t>
        </is>
      </c>
      <c r="Z253" t="inlineStr">
        <is>
          <t>1992-05-01</t>
        </is>
      </c>
      <c r="AA253" t="n">
        <v>808</v>
      </c>
      <c r="AB253" t="n">
        <v>680</v>
      </c>
      <c r="AC253" t="n">
        <v>680</v>
      </c>
      <c r="AD253" t="n">
        <v>6</v>
      </c>
      <c r="AE253" t="n">
        <v>6</v>
      </c>
      <c r="AF253" t="n">
        <v>27</v>
      </c>
      <c r="AG253" t="n">
        <v>27</v>
      </c>
      <c r="AH253" t="n">
        <v>7</v>
      </c>
      <c r="AI253" t="n">
        <v>7</v>
      </c>
      <c r="AJ253" t="n">
        <v>8</v>
      </c>
      <c r="AK253" t="n">
        <v>8</v>
      </c>
      <c r="AL253" t="n">
        <v>13</v>
      </c>
      <c r="AM253" t="n">
        <v>13</v>
      </c>
      <c r="AN253" t="n">
        <v>5</v>
      </c>
      <c r="AO253" t="n">
        <v>5</v>
      </c>
      <c r="AP253" t="n">
        <v>0</v>
      </c>
      <c r="AQ253" t="n">
        <v>0</v>
      </c>
      <c r="AR253" t="inlineStr">
        <is>
          <t>No</t>
        </is>
      </c>
      <c r="AS253" t="inlineStr">
        <is>
          <t>No</t>
        </is>
      </c>
      <c r="AU253">
        <f>HYPERLINK("https://creighton-primo.hosted.exlibrisgroup.com/primo-explore/search?tab=default_tab&amp;search_scope=EVERYTHING&amp;vid=01CRU&amp;lang=en_US&amp;offset=0&amp;query=any,contains,991001231869702656","Catalog Record")</f>
        <v/>
      </c>
      <c r="AV253">
        <f>HYPERLINK("http://www.worldcat.org/oclc/203796","WorldCat Record")</f>
        <v/>
      </c>
      <c r="AW253" t="inlineStr">
        <is>
          <t>9020749274:eng</t>
        </is>
      </c>
      <c r="AX253" t="inlineStr">
        <is>
          <t>203796</t>
        </is>
      </c>
      <c r="AY253" t="inlineStr">
        <is>
          <t>991001231869702656</t>
        </is>
      </c>
      <c r="AZ253" t="inlineStr">
        <is>
          <t>991001231869702656</t>
        </is>
      </c>
      <c r="BA253" t="inlineStr">
        <is>
          <t>2255974410002656</t>
        </is>
      </c>
      <c r="BB253" t="inlineStr">
        <is>
          <t>BOOK</t>
        </is>
      </c>
      <c r="BE253" t="inlineStr">
        <is>
          <t>32285001091254</t>
        </is>
      </c>
      <c r="BF253" t="inlineStr">
        <is>
          <t>893225724</t>
        </is>
      </c>
    </row>
    <row r="254">
      <c r="A254" t="inlineStr">
        <is>
          <t>No</t>
        </is>
      </c>
      <c r="B254" t="inlineStr">
        <is>
          <t>CURAL</t>
        </is>
      </c>
      <c r="C254" t="inlineStr">
        <is>
          <t>SHELVES</t>
        </is>
      </c>
      <c r="D254" t="inlineStr">
        <is>
          <t>PQ2635.O12 J3 1963</t>
        </is>
      </c>
      <c r="E254" t="inlineStr">
        <is>
          <t>0                      PQ 2635000O  12                 J  3           1963</t>
        </is>
      </c>
      <c r="F254" t="inlineStr">
        <is>
          <t>La Jalousie / Alain Robbe-Grillet ; edited by Germaine Brée and Eric Schoenfeld.</t>
        </is>
      </c>
      <c r="H254" t="inlineStr">
        <is>
          <t>No</t>
        </is>
      </c>
      <c r="I254" t="inlineStr">
        <is>
          <t>1</t>
        </is>
      </c>
      <c r="J254" t="inlineStr">
        <is>
          <t>No</t>
        </is>
      </c>
      <c r="K254" t="inlineStr">
        <is>
          <t>No</t>
        </is>
      </c>
      <c r="L254" t="inlineStr">
        <is>
          <t>0</t>
        </is>
      </c>
      <c r="M254" t="inlineStr">
        <is>
          <t>Robbe-Grillet, Alain, 1922-2008.</t>
        </is>
      </c>
      <c r="N254" t="inlineStr">
        <is>
          <t>New York : Macmillan, c1963.</t>
        </is>
      </c>
      <c r="O254" t="inlineStr">
        <is>
          <t>1963</t>
        </is>
      </c>
      <c r="Q254" t="inlineStr">
        <is>
          <t>fre</t>
        </is>
      </c>
      <c r="R254" t="inlineStr">
        <is>
          <t>nyu</t>
        </is>
      </c>
      <c r="S254" t="inlineStr">
        <is>
          <t>Macmillan modern French literature series</t>
        </is>
      </c>
      <c r="T254" t="inlineStr">
        <is>
          <t xml:space="preserve">PQ </t>
        </is>
      </c>
      <c r="U254" t="n">
        <v>5</v>
      </c>
      <c r="V254" t="n">
        <v>5</v>
      </c>
      <c r="W254" t="inlineStr">
        <is>
          <t>2003-09-28</t>
        </is>
      </c>
      <c r="X254" t="inlineStr">
        <is>
          <t>2003-09-28</t>
        </is>
      </c>
      <c r="Y254" t="inlineStr">
        <is>
          <t>1995-10-30</t>
        </is>
      </c>
      <c r="Z254" t="inlineStr">
        <is>
          <t>1995-10-30</t>
        </is>
      </c>
      <c r="AA254" t="n">
        <v>278</v>
      </c>
      <c r="AB254" t="n">
        <v>265</v>
      </c>
      <c r="AC254" t="n">
        <v>854</v>
      </c>
      <c r="AD254" t="n">
        <v>2</v>
      </c>
      <c r="AE254" t="n">
        <v>5</v>
      </c>
      <c r="AF254" t="n">
        <v>13</v>
      </c>
      <c r="AG254" t="n">
        <v>47</v>
      </c>
      <c r="AH254" t="n">
        <v>5</v>
      </c>
      <c r="AI254" t="n">
        <v>23</v>
      </c>
      <c r="AJ254" t="n">
        <v>3</v>
      </c>
      <c r="AK254" t="n">
        <v>10</v>
      </c>
      <c r="AL254" t="n">
        <v>7</v>
      </c>
      <c r="AM254" t="n">
        <v>23</v>
      </c>
      <c r="AN254" t="n">
        <v>1</v>
      </c>
      <c r="AO254" t="n">
        <v>4</v>
      </c>
      <c r="AP254" t="n">
        <v>0</v>
      </c>
      <c r="AQ254" t="n">
        <v>0</v>
      </c>
      <c r="AR254" t="inlineStr">
        <is>
          <t>No</t>
        </is>
      </c>
      <c r="AS254" t="inlineStr">
        <is>
          <t>Yes</t>
        </is>
      </c>
      <c r="AT254">
        <f>HYPERLINK("http://catalog.hathitrust.org/Record/000007295","HathiTrust Record")</f>
        <v/>
      </c>
      <c r="AU254">
        <f>HYPERLINK("https://creighton-primo.hosted.exlibrisgroup.com/primo-explore/search?tab=default_tab&amp;search_scope=EVERYTHING&amp;vid=01CRU&amp;lang=en_US&amp;offset=0&amp;query=any,contains,991005072729702656","Catalog Record")</f>
        <v/>
      </c>
      <c r="AV254">
        <f>HYPERLINK("http://www.worldcat.org/oclc/7059078","WorldCat Record")</f>
        <v/>
      </c>
      <c r="AW254" t="inlineStr">
        <is>
          <t>120804387:fre</t>
        </is>
      </c>
      <c r="AX254" t="inlineStr">
        <is>
          <t>7059078</t>
        </is>
      </c>
      <c r="AY254" t="inlineStr">
        <is>
          <t>991005072729702656</t>
        </is>
      </c>
      <c r="AZ254" t="inlineStr">
        <is>
          <t>991005072729702656</t>
        </is>
      </c>
      <c r="BA254" t="inlineStr">
        <is>
          <t>2263381050002656</t>
        </is>
      </c>
      <c r="BB254" t="inlineStr">
        <is>
          <t>BOOK</t>
        </is>
      </c>
      <c r="BE254" t="inlineStr">
        <is>
          <t>32285002069291</t>
        </is>
      </c>
      <c r="BF254" t="inlineStr">
        <is>
          <t>893694710</t>
        </is>
      </c>
    </row>
    <row r="255">
      <c r="A255" t="inlineStr">
        <is>
          <t>No</t>
        </is>
      </c>
      <c r="B255" t="inlineStr">
        <is>
          <t>CURAL</t>
        </is>
      </c>
      <c r="C255" t="inlineStr">
        <is>
          <t>SHELVES</t>
        </is>
      </c>
      <c r="D255" t="inlineStr">
        <is>
          <t>PQ2637.A274 P4513 1982</t>
        </is>
      </c>
      <c r="E255" t="inlineStr">
        <is>
          <t>0                      PQ 2637000A  274                P  4513        1982</t>
        </is>
      </c>
      <c r="F255" t="inlineStr">
        <is>
          <t>The dialectic of The little prince / Edward J. Capestany.</t>
        </is>
      </c>
      <c r="H255" t="inlineStr">
        <is>
          <t>No</t>
        </is>
      </c>
      <c r="I255" t="inlineStr">
        <is>
          <t>1</t>
        </is>
      </c>
      <c r="J255" t="inlineStr">
        <is>
          <t>No</t>
        </is>
      </c>
      <c r="K255" t="inlineStr">
        <is>
          <t>No</t>
        </is>
      </c>
      <c r="L255" t="inlineStr">
        <is>
          <t>0</t>
        </is>
      </c>
      <c r="M255" t="inlineStr">
        <is>
          <t>Capestany, Edward J.</t>
        </is>
      </c>
      <c r="N255" t="inlineStr">
        <is>
          <t>Washington, D.C. : University Press of America, c1982.</t>
        </is>
      </c>
      <c r="O255" t="inlineStr">
        <is>
          <t>1982</t>
        </is>
      </c>
      <c r="Q255" t="inlineStr">
        <is>
          <t>eng</t>
        </is>
      </c>
      <c r="R255" t="inlineStr">
        <is>
          <t>dcu</t>
        </is>
      </c>
      <c r="T255" t="inlineStr">
        <is>
          <t xml:space="preserve">PQ </t>
        </is>
      </c>
      <c r="U255" t="n">
        <v>10</v>
      </c>
      <c r="V255" t="n">
        <v>10</v>
      </c>
      <c r="W255" t="inlineStr">
        <is>
          <t>2003-11-25</t>
        </is>
      </c>
      <c r="X255" t="inlineStr">
        <is>
          <t>2003-11-25</t>
        </is>
      </c>
      <c r="Y255" t="inlineStr">
        <is>
          <t>1991-05-14</t>
        </is>
      </c>
      <c r="Z255" t="inlineStr">
        <is>
          <t>1991-05-14</t>
        </is>
      </c>
      <c r="AA255" t="n">
        <v>203</v>
      </c>
      <c r="AB255" t="n">
        <v>173</v>
      </c>
      <c r="AC255" t="n">
        <v>175</v>
      </c>
      <c r="AD255" t="n">
        <v>3</v>
      </c>
      <c r="AE255" t="n">
        <v>3</v>
      </c>
      <c r="AF255" t="n">
        <v>12</v>
      </c>
      <c r="AG255" t="n">
        <v>12</v>
      </c>
      <c r="AH255" t="n">
        <v>4</v>
      </c>
      <c r="AI255" t="n">
        <v>4</v>
      </c>
      <c r="AJ255" t="n">
        <v>3</v>
      </c>
      <c r="AK255" t="n">
        <v>3</v>
      </c>
      <c r="AL255" t="n">
        <v>7</v>
      </c>
      <c r="AM255" t="n">
        <v>7</v>
      </c>
      <c r="AN255" t="n">
        <v>2</v>
      </c>
      <c r="AO255" t="n">
        <v>2</v>
      </c>
      <c r="AP255" t="n">
        <v>0</v>
      </c>
      <c r="AQ255" t="n">
        <v>0</v>
      </c>
      <c r="AR255" t="inlineStr">
        <is>
          <t>No</t>
        </is>
      </c>
      <c r="AS255" t="inlineStr">
        <is>
          <t>Yes</t>
        </is>
      </c>
      <c r="AT255">
        <f>HYPERLINK("http://catalog.hathitrust.org/Record/007525843","HathiTrust Record")</f>
        <v/>
      </c>
      <c r="AU255">
        <f>HYPERLINK("https://creighton-primo.hosted.exlibrisgroup.com/primo-explore/search?tab=default_tab&amp;search_scope=EVERYTHING&amp;vid=01CRU&amp;lang=en_US&amp;offset=0&amp;query=any,contains,991005198359702656","Catalog Record")</f>
        <v/>
      </c>
      <c r="AV255">
        <f>HYPERLINK("http://www.worldcat.org/oclc/8052576","WorldCat Record")</f>
        <v/>
      </c>
      <c r="AW255" t="inlineStr">
        <is>
          <t>483458:eng</t>
        </is>
      </c>
      <c r="AX255" t="inlineStr">
        <is>
          <t>8052576</t>
        </is>
      </c>
      <c r="AY255" t="inlineStr">
        <is>
          <t>991005198359702656</t>
        </is>
      </c>
      <c r="AZ255" t="inlineStr">
        <is>
          <t>991005198359702656</t>
        </is>
      </c>
      <c r="BA255" t="inlineStr">
        <is>
          <t>2256310070002656</t>
        </is>
      </c>
      <c r="BB255" t="inlineStr">
        <is>
          <t>BOOK</t>
        </is>
      </c>
      <c r="BD255" t="inlineStr">
        <is>
          <t>9780819122131</t>
        </is>
      </c>
      <c r="BE255" t="inlineStr">
        <is>
          <t>32285000604776</t>
        </is>
      </c>
      <c r="BF255" t="inlineStr">
        <is>
          <t>893418535</t>
        </is>
      </c>
    </row>
    <row r="256">
      <c r="A256" t="inlineStr">
        <is>
          <t>No</t>
        </is>
      </c>
      <c r="B256" t="inlineStr">
        <is>
          <t>CURAL</t>
        </is>
      </c>
      <c r="C256" t="inlineStr">
        <is>
          <t>SHELVES</t>
        </is>
      </c>
      <c r="D256" t="inlineStr">
        <is>
          <t>PQ2637.A274 P4613 1993</t>
        </is>
      </c>
      <c r="E256" t="inlineStr">
        <is>
          <t>0                      PQ 2637000A  274                P  4613        1993</t>
        </is>
      </c>
      <c r="F256" t="inlineStr">
        <is>
          <t>Discovering the royal child within : a spiritual psychology of "The little prince" / Eugen Drewermann ; translated by Peter Heinegg.</t>
        </is>
      </c>
      <c r="H256" t="inlineStr">
        <is>
          <t>No</t>
        </is>
      </c>
      <c r="I256" t="inlineStr">
        <is>
          <t>1</t>
        </is>
      </c>
      <c r="J256" t="inlineStr">
        <is>
          <t>No</t>
        </is>
      </c>
      <c r="K256" t="inlineStr">
        <is>
          <t>No</t>
        </is>
      </c>
      <c r="L256" t="inlineStr">
        <is>
          <t>0</t>
        </is>
      </c>
      <c r="M256" t="inlineStr">
        <is>
          <t>Drewermann, Eugen.</t>
        </is>
      </c>
      <c r="N256" t="inlineStr">
        <is>
          <t>New York : Crossroad, c1993.</t>
        </is>
      </c>
      <c r="O256" t="inlineStr">
        <is>
          <t>1993</t>
        </is>
      </c>
      <c r="Q256" t="inlineStr">
        <is>
          <t>eng</t>
        </is>
      </c>
      <c r="R256" t="inlineStr">
        <is>
          <t>nyu</t>
        </is>
      </c>
      <c r="T256" t="inlineStr">
        <is>
          <t xml:space="preserve">PQ </t>
        </is>
      </c>
      <c r="U256" t="n">
        <v>4</v>
      </c>
      <c r="V256" t="n">
        <v>4</v>
      </c>
      <c r="W256" t="inlineStr">
        <is>
          <t>2003-11-25</t>
        </is>
      </c>
      <c r="X256" t="inlineStr">
        <is>
          <t>2003-11-25</t>
        </is>
      </c>
      <c r="Y256" t="inlineStr">
        <is>
          <t>1999-12-02</t>
        </is>
      </c>
      <c r="Z256" t="inlineStr">
        <is>
          <t>1999-12-02</t>
        </is>
      </c>
      <c r="AA256" t="n">
        <v>114</v>
      </c>
      <c r="AB256" t="n">
        <v>101</v>
      </c>
      <c r="AC256" t="n">
        <v>102</v>
      </c>
      <c r="AD256" t="n">
        <v>2</v>
      </c>
      <c r="AE256" t="n">
        <v>2</v>
      </c>
      <c r="AF256" t="n">
        <v>10</v>
      </c>
      <c r="AG256" t="n">
        <v>10</v>
      </c>
      <c r="AH256" t="n">
        <v>3</v>
      </c>
      <c r="AI256" t="n">
        <v>3</v>
      </c>
      <c r="AJ256" t="n">
        <v>4</v>
      </c>
      <c r="AK256" t="n">
        <v>4</v>
      </c>
      <c r="AL256" t="n">
        <v>4</v>
      </c>
      <c r="AM256" t="n">
        <v>4</v>
      </c>
      <c r="AN256" t="n">
        <v>1</v>
      </c>
      <c r="AO256" t="n">
        <v>1</v>
      </c>
      <c r="AP256" t="n">
        <v>0</v>
      </c>
      <c r="AQ256" t="n">
        <v>0</v>
      </c>
      <c r="AR256" t="inlineStr">
        <is>
          <t>No</t>
        </is>
      </c>
      <c r="AS256" t="inlineStr">
        <is>
          <t>Yes</t>
        </is>
      </c>
      <c r="AT256">
        <f>HYPERLINK("http://catalog.hathitrust.org/Record/007111125","HathiTrust Record")</f>
        <v/>
      </c>
      <c r="AU256">
        <f>HYPERLINK("https://creighton-primo.hosted.exlibrisgroup.com/primo-explore/search?tab=default_tab&amp;search_scope=EVERYTHING&amp;vid=01CRU&amp;lang=en_US&amp;offset=0&amp;query=any,contains,991002128699702656","Catalog Record")</f>
        <v/>
      </c>
      <c r="AV256">
        <f>HYPERLINK("http://www.worldcat.org/oclc/27265888","WorldCat Record")</f>
        <v/>
      </c>
      <c r="AW256" t="inlineStr">
        <is>
          <t>3901514321:eng</t>
        </is>
      </c>
      <c r="AX256" t="inlineStr">
        <is>
          <t>27265888</t>
        </is>
      </c>
      <c r="AY256" t="inlineStr">
        <is>
          <t>991002128699702656</t>
        </is>
      </c>
      <c r="AZ256" t="inlineStr">
        <is>
          <t>991002128699702656</t>
        </is>
      </c>
      <c r="BA256" t="inlineStr">
        <is>
          <t>2269672840002656</t>
        </is>
      </c>
      <c r="BB256" t="inlineStr">
        <is>
          <t>BOOK</t>
        </is>
      </c>
      <c r="BD256" t="inlineStr">
        <is>
          <t>9780824512675</t>
        </is>
      </c>
      <c r="BE256" t="inlineStr">
        <is>
          <t>32285003627501</t>
        </is>
      </c>
      <c r="BF256" t="inlineStr">
        <is>
          <t>893510328</t>
        </is>
      </c>
    </row>
    <row r="257">
      <c r="A257" t="inlineStr">
        <is>
          <t>No</t>
        </is>
      </c>
      <c r="B257" t="inlineStr">
        <is>
          <t>CURAL</t>
        </is>
      </c>
      <c r="C257" t="inlineStr">
        <is>
          <t>SHELVES</t>
        </is>
      </c>
      <c r="D257" t="inlineStr">
        <is>
          <t>PQ2637.A274 Z63</t>
        </is>
      </c>
      <c r="E257" t="inlineStr">
        <is>
          <t>0                      PQ 2637000A  274                Z  63</t>
        </is>
      </c>
      <c r="F257" t="inlineStr">
        <is>
          <t>Saint-Exupéry in America, 1942-1943; a memoir / Adèle Breaux.</t>
        </is>
      </c>
      <c r="H257" t="inlineStr">
        <is>
          <t>No</t>
        </is>
      </c>
      <c r="I257" t="inlineStr">
        <is>
          <t>1</t>
        </is>
      </c>
      <c r="J257" t="inlineStr">
        <is>
          <t>No</t>
        </is>
      </c>
      <c r="K257" t="inlineStr">
        <is>
          <t>No</t>
        </is>
      </c>
      <c r="L257" t="inlineStr">
        <is>
          <t>0</t>
        </is>
      </c>
      <c r="M257" t="inlineStr">
        <is>
          <t>Breaux, Adèle.</t>
        </is>
      </c>
      <c r="N257" t="inlineStr">
        <is>
          <t>Rutherford [N.J.] : Fairleigh Dickinson University Press, 1971.</t>
        </is>
      </c>
      <c r="O257" t="inlineStr">
        <is>
          <t>1971</t>
        </is>
      </c>
      <c r="Q257" t="inlineStr">
        <is>
          <t>eng</t>
        </is>
      </c>
      <c r="R257" t="inlineStr">
        <is>
          <t>nju</t>
        </is>
      </c>
      <c r="T257" t="inlineStr">
        <is>
          <t xml:space="preserve">PQ </t>
        </is>
      </c>
      <c r="U257" t="n">
        <v>7</v>
      </c>
      <c r="V257" t="n">
        <v>7</v>
      </c>
      <c r="W257" t="inlineStr">
        <is>
          <t>2003-11-25</t>
        </is>
      </c>
      <c r="X257" t="inlineStr">
        <is>
          <t>2003-11-25</t>
        </is>
      </c>
      <c r="Y257" t="inlineStr">
        <is>
          <t>1991-05-14</t>
        </is>
      </c>
      <c r="Z257" t="inlineStr">
        <is>
          <t>1991-05-14</t>
        </is>
      </c>
      <c r="AA257" t="n">
        <v>365</v>
      </c>
      <c r="AB257" t="n">
        <v>335</v>
      </c>
      <c r="AC257" t="n">
        <v>337</v>
      </c>
      <c r="AD257" t="n">
        <v>3</v>
      </c>
      <c r="AE257" t="n">
        <v>3</v>
      </c>
      <c r="AF257" t="n">
        <v>13</v>
      </c>
      <c r="AG257" t="n">
        <v>13</v>
      </c>
      <c r="AH257" t="n">
        <v>3</v>
      </c>
      <c r="AI257" t="n">
        <v>3</v>
      </c>
      <c r="AJ257" t="n">
        <v>3</v>
      </c>
      <c r="AK257" t="n">
        <v>3</v>
      </c>
      <c r="AL257" t="n">
        <v>6</v>
      </c>
      <c r="AM257" t="n">
        <v>6</v>
      </c>
      <c r="AN257" t="n">
        <v>2</v>
      </c>
      <c r="AO257" t="n">
        <v>2</v>
      </c>
      <c r="AP257" t="n">
        <v>0</v>
      </c>
      <c r="AQ257" t="n">
        <v>0</v>
      </c>
      <c r="AR257" t="inlineStr">
        <is>
          <t>No</t>
        </is>
      </c>
      <c r="AS257" t="inlineStr">
        <is>
          <t>Yes</t>
        </is>
      </c>
      <c r="AT257">
        <f>HYPERLINK("http://catalog.hathitrust.org/Record/001216010","HathiTrust Record")</f>
        <v/>
      </c>
      <c r="AU257">
        <f>HYPERLINK("https://creighton-primo.hosted.exlibrisgroup.com/primo-explore/search?tab=default_tab&amp;search_scope=EVERYTHING&amp;vid=01CRU&amp;lang=en_US&amp;offset=0&amp;query=any,contains,991000934909702656","Catalog Record")</f>
        <v/>
      </c>
      <c r="AV257">
        <f>HYPERLINK("http://www.worldcat.org/oclc/164146","WorldCat Record")</f>
        <v/>
      </c>
      <c r="AW257" t="inlineStr">
        <is>
          <t>146999485:eng</t>
        </is>
      </c>
      <c r="AX257" t="inlineStr">
        <is>
          <t>164146</t>
        </is>
      </c>
      <c r="AY257" t="inlineStr">
        <is>
          <t>991000934909702656</t>
        </is>
      </c>
      <c r="AZ257" t="inlineStr">
        <is>
          <t>991000934909702656</t>
        </is>
      </c>
      <c r="BA257" t="inlineStr">
        <is>
          <t>2271912880002656</t>
        </is>
      </c>
      <c r="BB257" t="inlineStr">
        <is>
          <t>BOOK</t>
        </is>
      </c>
      <c r="BD257" t="inlineStr">
        <is>
          <t>9780838676103</t>
        </is>
      </c>
      <c r="BE257" t="inlineStr">
        <is>
          <t>32285000604784</t>
        </is>
      </c>
      <c r="BF257" t="inlineStr">
        <is>
          <t>893872148</t>
        </is>
      </c>
    </row>
    <row r="258">
      <c r="A258" t="inlineStr">
        <is>
          <t>No</t>
        </is>
      </c>
      <c r="B258" t="inlineStr">
        <is>
          <t>CURAL</t>
        </is>
      </c>
      <c r="C258" t="inlineStr">
        <is>
          <t>SHELVES</t>
        </is>
      </c>
      <c r="D258" t="inlineStr">
        <is>
          <t>PQ2637.A274 Z6355 1990</t>
        </is>
      </c>
      <c r="E258" t="inlineStr">
        <is>
          <t>0                      PQ 2637000A  274                Z  6355        1990</t>
        </is>
      </c>
      <c r="F258" t="inlineStr">
        <is>
          <t>Antoine de Saint-Exupéry / Curtis Cate.</t>
        </is>
      </c>
      <c r="H258" t="inlineStr">
        <is>
          <t>No</t>
        </is>
      </c>
      <c r="I258" t="inlineStr">
        <is>
          <t>1</t>
        </is>
      </c>
      <c r="J258" t="inlineStr">
        <is>
          <t>No</t>
        </is>
      </c>
      <c r="K258" t="inlineStr">
        <is>
          <t>No</t>
        </is>
      </c>
      <c r="L258" t="inlineStr">
        <is>
          <t>0</t>
        </is>
      </c>
      <c r="M258" t="inlineStr">
        <is>
          <t>Cate, Curtis, 1924-2006.</t>
        </is>
      </c>
      <c r="N258" t="inlineStr">
        <is>
          <t>New York : Paragon House, 1990.</t>
        </is>
      </c>
      <c r="O258" t="inlineStr">
        <is>
          <t>1990</t>
        </is>
      </c>
      <c r="P258" t="inlineStr">
        <is>
          <t>1st Paperback ed.</t>
        </is>
      </c>
      <c r="Q258" t="inlineStr">
        <is>
          <t>eng</t>
        </is>
      </c>
      <c r="R258" t="inlineStr">
        <is>
          <t>nyu</t>
        </is>
      </c>
      <c r="T258" t="inlineStr">
        <is>
          <t xml:space="preserve">PQ </t>
        </is>
      </c>
      <c r="U258" t="n">
        <v>4</v>
      </c>
      <c r="V258" t="n">
        <v>4</v>
      </c>
      <c r="W258" t="inlineStr">
        <is>
          <t>2003-11-25</t>
        </is>
      </c>
      <c r="X258" t="inlineStr">
        <is>
          <t>2003-11-25</t>
        </is>
      </c>
      <c r="Y258" t="inlineStr">
        <is>
          <t>1990-09-04</t>
        </is>
      </c>
      <c r="Z258" t="inlineStr">
        <is>
          <t>1990-09-04</t>
        </is>
      </c>
      <c r="AA258" t="n">
        <v>85</v>
      </c>
      <c r="AB258" t="n">
        <v>79</v>
      </c>
      <c r="AC258" t="n">
        <v>956</v>
      </c>
      <c r="AD258" t="n">
        <v>1</v>
      </c>
      <c r="AE258" t="n">
        <v>6</v>
      </c>
      <c r="AF258" t="n">
        <v>1</v>
      </c>
      <c r="AG258" t="n">
        <v>29</v>
      </c>
      <c r="AH258" t="n">
        <v>0</v>
      </c>
      <c r="AI258" t="n">
        <v>8</v>
      </c>
      <c r="AJ258" t="n">
        <v>0</v>
      </c>
      <c r="AK258" t="n">
        <v>7</v>
      </c>
      <c r="AL258" t="n">
        <v>1</v>
      </c>
      <c r="AM258" t="n">
        <v>17</v>
      </c>
      <c r="AN258" t="n">
        <v>0</v>
      </c>
      <c r="AO258" t="n">
        <v>4</v>
      </c>
      <c r="AP258" t="n">
        <v>0</v>
      </c>
      <c r="AQ258" t="n">
        <v>0</v>
      </c>
      <c r="AR258" t="inlineStr">
        <is>
          <t>No</t>
        </is>
      </c>
      <c r="AS258" t="inlineStr">
        <is>
          <t>No</t>
        </is>
      </c>
      <c r="AU258">
        <f>HYPERLINK("https://creighton-primo.hosted.exlibrisgroup.com/primo-explore/search?tab=default_tab&amp;search_scope=EVERYTHING&amp;vid=01CRU&amp;lang=en_US&amp;offset=0&amp;query=any,contains,991001593589702656","Catalog Record")</f>
        <v/>
      </c>
      <c r="AV258">
        <f>HYPERLINK("http://www.worldcat.org/oclc/20595115","WorldCat Record")</f>
        <v/>
      </c>
      <c r="AW258" t="inlineStr">
        <is>
          <t>290076231:eng</t>
        </is>
      </c>
      <c r="AX258" t="inlineStr">
        <is>
          <t>20595115</t>
        </is>
      </c>
      <c r="AY258" t="inlineStr">
        <is>
          <t>991001593589702656</t>
        </is>
      </c>
      <c r="AZ258" t="inlineStr">
        <is>
          <t>991001593589702656</t>
        </is>
      </c>
      <c r="BA258" t="inlineStr">
        <is>
          <t>2270475420002656</t>
        </is>
      </c>
      <c r="BB258" t="inlineStr">
        <is>
          <t>BOOK</t>
        </is>
      </c>
      <c r="BD258" t="inlineStr">
        <is>
          <t>9781557782915</t>
        </is>
      </c>
      <c r="BE258" t="inlineStr">
        <is>
          <t>32285000276039</t>
        </is>
      </c>
      <c r="BF258" t="inlineStr">
        <is>
          <t>893803697</t>
        </is>
      </c>
    </row>
    <row r="259">
      <c r="A259" t="inlineStr">
        <is>
          <t>No</t>
        </is>
      </c>
      <c r="B259" t="inlineStr">
        <is>
          <t>CURAL</t>
        </is>
      </c>
      <c r="C259" t="inlineStr">
        <is>
          <t>SHELVES</t>
        </is>
      </c>
      <c r="D259" t="inlineStr">
        <is>
          <t>PQ2637.A274 Z829 1994</t>
        </is>
      </c>
      <c r="E259" t="inlineStr">
        <is>
          <t>0                      PQ 2637000A  274                Z  829         1994</t>
        </is>
      </c>
      <c r="F259" t="inlineStr">
        <is>
          <t>Saint-Exupéry : a biography / by Stacy Schiff.</t>
        </is>
      </c>
      <c r="H259" t="inlineStr">
        <is>
          <t>No</t>
        </is>
      </c>
      <c r="I259" t="inlineStr">
        <is>
          <t>1</t>
        </is>
      </c>
      <c r="J259" t="inlineStr">
        <is>
          <t>No</t>
        </is>
      </c>
      <c r="K259" t="inlineStr">
        <is>
          <t>No</t>
        </is>
      </c>
      <c r="L259" t="inlineStr">
        <is>
          <t>0</t>
        </is>
      </c>
      <c r="M259" t="inlineStr">
        <is>
          <t>Schiff, Stacy.</t>
        </is>
      </c>
      <c r="N259" t="inlineStr">
        <is>
          <t>New York : A.A. Knopf : Distributed by Random House, 1994.</t>
        </is>
      </c>
      <c r="O259" t="inlineStr">
        <is>
          <t>1994</t>
        </is>
      </c>
      <c r="P259" t="inlineStr">
        <is>
          <t>1st ed.</t>
        </is>
      </c>
      <c r="Q259" t="inlineStr">
        <is>
          <t>eng</t>
        </is>
      </c>
      <c r="R259" t="inlineStr">
        <is>
          <t>nyu</t>
        </is>
      </c>
      <c r="T259" t="inlineStr">
        <is>
          <t xml:space="preserve">PQ </t>
        </is>
      </c>
      <c r="U259" t="n">
        <v>2</v>
      </c>
      <c r="V259" t="n">
        <v>2</v>
      </c>
      <c r="W259" t="inlineStr">
        <is>
          <t>2003-11-25</t>
        </is>
      </c>
      <c r="X259" t="inlineStr">
        <is>
          <t>2003-11-25</t>
        </is>
      </c>
      <c r="Y259" t="inlineStr">
        <is>
          <t>1995-01-14</t>
        </is>
      </c>
      <c r="Z259" t="inlineStr">
        <is>
          <t>1995-01-14</t>
        </is>
      </c>
      <c r="AA259" t="n">
        <v>879</v>
      </c>
      <c r="AB259" t="n">
        <v>834</v>
      </c>
      <c r="AC259" t="n">
        <v>1033</v>
      </c>
      <c r="AD259" t="n">
        <v>7</v>
      </c>
      <c r="AE259" t="n">
        <v>7</v>
      </c>
      <c r="AF259" t="n">
        <v>25</v>
      </c>
      <c r="AG259" t="n">
        <v>33</v>
      </c>
      <c r="AH259" t="n">
        <v>7</v>
      </c>
      <c r="AI259" t="n">
        <v>10</v>
      </c>
      <c r="AJ259" t="n">
        <v>6</v>
      </c>
      <c r="AK259" t="n">
        <v>7</v>
      </c>
      <c r="AL259" t="n">
        <v>14</v>
      </c>
      <c r="AM259" t="n">
        <v>19</v>
      </c>
      <c r="AN259" t="n">
        <v>4</v>
      </c>
      <c r="AO259" t="n">
        <v>4</v>
      </c>
      <c r="AP259" t="n">
        <v>1</v>
      </c>
      <c r="AQ259" t="n">
        <v>1</v>
      </c>
      <c r="AR259" t="inlineStr">
        <is>
          <t>No</t>
        </is>
      </c>
      <c r="AS259" t="inlineStr">
        <is>
          <t>Yes</t>
        </is>
      </c>
      <c r="AT259">
        <f>HYPERLINK("http://catalog.hathitrust.org/Record/002934582","HathiTrust Record")</f>
        <v/>
      </c>
      <c r="AU259">
        <f>HYPERLINK("https://creighton-primo.hosted.exlibrisgroup.com/primo-explore/search?tab=default_tab&amp;search_scope=EVERYTHING&amp;vid=01CRU&amp;lang=en_US&amp;offset=0&amp;query=any,contains,991002299109702656","Catalog Record")</f>
        <v/>
      </c>
      <c r="AV259">
        <f>HYPERLINK("http://www.worldcat.org/oclc/29844190","WorldCat Record")</f>
        <v/>
      </c>
      <c r="AW259" t="inlineStr">
        <is>
          <t>3768693975:eng</t>
        </is>
      </c>
      <c r="AX259" t="inlineStr">
        <is>
          <t>29844190</t>
        </is>
      </c>
      <c r="AY259" t="inlineStr">
        <is>
          <t>991002299109702656</t>
        </is>
      </c>
      <c r="AZ259" t="inlineStr">
        <is>
          <t>991002299109702656</t>
        </is>
      </c>
      <c r="BA259" t="inlineStr">
        <is>
          <t>2264951690002656</t>
        </is>
      </c>
      <c r="BB259" t="inlineStr">
        <is>
          <t>BOOK</t>
        </is>
      </c>
      <c r="BD259" t="inlineStr">
        <is>
          <t>9780679403104</t>
        </is>
      </c>
      <c r="BE259" t="inlineStr">
        <is>
          <t>32285001992535</t>
        </is>
      </c>
      <c r="BF259" t="inlineStr">
        <is>
          <t>893408939</t>
        </is>
      </c>
    </row>
    <row r="260">
      <c r="A260" t="inlineStr">
        <is>
          <t>No</t>
        </is>
      </c>
      <c r="B260" t="inlineStr">
        <is>
          <t>CURAL</t>
        </is>
      </c>
      <c r="C260" t="inlineStr">
        <is>
          <t>SHELVES</t>
        </is>
      </c>
      <c r="D260" t="inlineStr">
        <is>
          <t>PQ2637.A362 E25 1957</t>
        </is>
      </c>
      <c r="E260" t="inlineStr">
        <is>
          <t>0                      PQ 2637000A  362                E  25          1957</t>
        </is>
      </c>
      <c r="F260" t="inlineStr">
        <is>
          <t>Les écrivains : Roman / Michel de Saint Pierre</t>
        </is>
      </c>
      <c r="H260" t="inlineStr">
        <is>
          <t>No</t>
        </is>
      </c>
      <c r="I260" t="inlineStr">
        <is>
          <t>1</t>
        </is>
      </c>
      <c r="J260" t="inlineStr">
        <is>
          <t>No</t>
        </is>
      </c>
      <c r="K260" t="inlineStr">
        <is>
          <t>No</t>
        </is>
      </c>
      <c r="L260" t="inlineStr">
        <is>
          <t>0</t>
        </is>
      </c>
      <c r="M260" t="inlineStr">
        <is>
          <t>Saint Pierre, Michel de, 1916-1987.</t>
        </is>
      </c>
      <c r="N260" t="inlineStr">
        <is>
          <t>Paris : Calmann-Levy, c1957</t>
        </is>
      </c>
      <c r="O260" t="inlineStr">
        <is>
          <t>1957</t>
        </is>
      </c>
      <c r="Q260" t="inlineStr">
        <is>
          <t>fre</t>
        </is>
      </c>
      <c r="R260" t="inlineStr">
        <is>
          <t xml:space="preserve">fr </t>
        </is>
      </c>
      <c r="S260" t="inlineStr">
        <is>
          <t>Le Livre de poche ; 528</t>
        </is>
      </c>
      <c r="T260" t="inlineStr">
        <is>
          <t xml:space="preserve">PQ </t>
        </is>
      </c>
      <c r="U260" t="n">
        <v>1</v>
      </c>
      <c r="V260" t="n">
        <v>1</v>
      </c>
      <c r="W260" t="inlineStr">
        <is>
          <t>2000-11-28</t>
        </is>
      </c>
      <c r="X260" t="inlineStr">
        <is>
          <t>2000-11-28</t>
        </is>
      </c>
      <c r="Y260" t="inlineStr">
        <is>
          <t>2000-11-28</t>
        </is>
      </c>
      <c r="Z260" t="inlineStr">
        <is>
          <t>2000-11-28</t>
        </is>
      </c>
      <c r="AA260" t="n">
        <v>4</v>
      </c>
      <c r="AB260" t="n">
        <v>2</v>
      </c>
      <c r="AC260" t="n">
        <v>162</v>
      </c>
      <c r="AD260" t="n">
        <v>1</v>
      </c>
      <c r="AE260" t="n">
        <v>1</v>
      </c>
      <c r="AF260" t="n">
        <v>0</v>
      </c>
      <c r="AG260" t="n">
        <v>8</v>
      </c>
      <c r="AH260" t="n">
        <v>0</v>
      </c>
      <c r="AI260" t="n">
        <v>1</v>
      </c>
      <c r="AJ260" t="n">
        <v>0</v>
      </c>
      <c r="AK260" t="n">
        <v>3</v>
      </c>
      <c r="AL260" t="n">
        <v>0</v>
      </c>
      <c r="AM260" t="n">
        <v>6</v>
      </c>
      <c r="AN260" t="n">
        <v>0</v>
      </c>
      <c r="AO260" t="n">
        <v>0</v>
      </c>
      <c r="AP260" t="n">
        <v>0</v>
      </c>
      <c r="AQ260" t="n">
        <v>0</v>
      </c>
      <c r="AR260" t="inlineStr">
        <is>
          <t>No</t>
        </is>
      </c>
      <c r="AS260" t="inlineStr">
        <is>
          <t>No</t>
        </is>
      </c>
      <c r="AU260">
        <f>HYPERLINK("https://creighton-primo.hosted.exlibrisgroup.com/primo-explore/search?tab=default_tab&amp;search_scope=EVERYTHING&amp;vid=01CRU&amp;lang=en_US&amp;offset=0&amp;query=any,contains,991003344239702656","Catalog Record")</f>
        <v/>
      </c>
      <c r="AV260">
        <f>HYPERLINK("http://www.worldcat.org/oclc/8737227","WorldCat Record")</f>
        <v/>
      </c>
      <c r="AW260" t="inlineStr">
        <is>
          <t>351351122:fre</t>
        </is>
      </c>
      <c r="AX260" t="inlineStr">
        <is>
          <t>8737227</t>
        </is>
      </c>
      <c r="AY260" t="inlineStr">
        <is>
          <t>991003344239702656</t>
        </is>
      </c>
      <c r="AZ260" t="inlineStr">
        <is>
          <t>991003344239702656</t>
        </is>
      </c>
      <c r="BA260" t="inlineStr">
        <is>
          <t>2256213100002656</t>
        </is>
      </c>
      <c r="BB260" t="inlineStr">
        <is>
          <t>BOOK</t>
        </is>
      </c>
      <c r="BE260" t="inlineStr">
        <is>
          <t>32285004267570</t>
        </is>
      </c>
      <c r="BF260" t="inlineStr">
        <is>
          <t>893799629</t>
        </is>
      </c>
    </row>
    <row r="261">
      <c r="A261" t="inlineStr">
        <is>
          <t>No</t>
        </is>
      </c>
      <c r="B261" t="inlineStr">
        <is>
          <t>CURAL</t>
        </is>
      </c>
      <c r="C261" t="inlineStr">
        <is>
          <t>SHELVES</t>
        </is>
      </c>
      <c r="D261" t="inlineStr">
        <is>
          <t>PQ2637.A82 Z56413 1984</t>
        </is>
      </c>
      <c r="E261" t="inlineStr">
        <is>
          <t>0                      PQ 2637000A  82                 Z  56413       1984</t>
        </is>
      </c>
      <c r="F261" t="inlineStr">
        <is>
          <t>Adieux : a farewell to Sartre / Simone de Beauvoir ; translated by Patrick O'Brian.</t>
        </is>
      </c>
      <c r="H261" t="inlineStr">
        <is>
          <t>No</t>
        </is>
      </c>
      <c r="I261" t="inlineStr">
        <is>
          <t>1</t>
        </is>
      </c>
      <c r="J261" t="inlineStr">
        <is>
          <t>No</t>
        </is>
      </c>
      <c r="K261" t="inlineStr">
        <is>
          <t>No</t>
        </is>
      </c>
      <c r="L261" t="inlineStr">
        <is>
          <t>0</t>
        </is>
      </c>
      <c r="M261" t="inlineStr">
        <is>
          <t>Beauvoir, Simone de, 1908-1986.</t>
        </is>
      </c>
      <c r="N261" t="inlineStr">
        <is>
          <t>New York : Pantheon Books, c1984.</t>
        </is>
      </c>
      <c r="O261" t="inlineStr">
        <is>
          <t>1984</t>
        </is>
      </c>
      <c r="P261" t="inlineStr">
        <is>
          <t>1st American ed.</t>
        </is>
      </c>
      <c r="Q261" t="inlineStr">
        <is>
          <t>eng</t>
        </is>
      </c>
      <c r="R261" t="inlineStr">
        <is>
          <t>nyu</t>
        </is>
      </c>
      <c r="T261" t="inlineStr">
        <is>
          <t xml:space="preserve">PQ </t>
        </is>
      </c>
      <c r="U261" t="n">
        <v>3</v>
      </c>
      <c r="V261" t="n">
        <v>3</v>
      </c>
      <c r="W261" t="inlineStr">
        <is>
          <t>1996-09-21</t>
        </is>
      </c>
      <c r="X261" t="inlineStr">
        <is>
          <t>1996-09-21</t>
        </is>
      </c>
      <c r="Y261" t="inlineStr">
        <is>
          <t>1991-05-15</t>
        </is>
      </c>
      <c r="Z261" t="inlineStr">
        <is>
          <t>1991-05-15</t>
        </is>
      </c>
      <c r="AA261" t="n">
        <v>1251</v>
      </c>
      <c r="AB261" t="n">
        <v>1156</v>
      </c>
      <c r="AC261" t="n">
        <v>1208</v>
      </c>
      <c r="AD261" t="n">
        <v>4</v>
      </c>
      <c r="AE261" t="n">
        <v>4</v>
      </c>
      <c r="AF261" t="n">
        <v>35</v>
      </c>
      <c r="AG261" t="n">
        <v>36</v>
      </c>
      <c r="AH261" t="n">
        <v>13</v>
      </c>
      <c r="AI261" t="n">
        <v>13</v>
      </c>
      <c r="AJ261" t="n">
        <v>10</v>
      </c>
      <c r="AK261" t="n">
        <v>10</v>
      </c>
      <c r="AL261" t="n">
        <v>18</v>
      </c>
      <c r="AM261" t="n">
        <v>19</v>
      </c>
      <c r="AN261" t="n">
        <v>3</v>
      </c>
      <c r="AO261" t="n">
        <v>3</v>
      </c>
      <c r="AP261" t="n">
        <v>0</v>
      </c>
      <c r="AQ261" t="n">
        <v>0</v>
      </c>
      <c r="AR261" t="inlineStr">
        <is>
          <t>No</t>
        </is>
      </c>
      <c r="AS261" t="inlineStr">
        <is>
          <t>Yes</t>
        </is>
      </c>
      <c r="AT261">
        <f>HYPERLINK("http://catalog.hathitrust.org/Record/000323002","HathiTrust Record")</f>
        <v/>
      </c>
      <c r="AU261">
        <f>HYPERLINK("https://creighton-primo.hosted.exlibrisgroup.com/primo-explore/search?tab=default_tab&amp;search_scope=EVERYTHING&amp;vid=01CRU&amp;lang=en_US&amp;offset=0&amp;query=any,contains,991000283049702656","Catalog Record")</f>
        <v/>
      </c>
      <c r="AV261">
        <f>HYPERLINK("http://www.worldcat.org/oclc/9919754","WorldCat Record")</f>
        <v/>
      </c>
      <c r="AW261" t="inlineStr">
        <is>
          <t>4071142813:eng</t>
        </is>
      </c>
      <c r="AX261" t="inlineStr">
        <is>
          <t>9919754</t>
        </is>
      </c>
      <c r="AY261" t="inlineStr">
        <is>
          <t>991000283049702656</t>
        </is>
      </c>
      <c r="AZ261" t="inlineStr">
        <is>
          <t>991000283049702656</t>
        </is>
      </c>
      <c r="BA261" t="inlineStr">
        <is>
          <t>2268124360002656</t>
        </is>
      </c>
      <c r="BB261" t="inlineStr">
        <is>
          <t>BOOK</t>
        </is>
      </c>
      <c r="BD261" t="inlineStr">
        <is>
          <t>9780394530352</t>
        </is>
      </c>
      <c r="BE261" t="inlineStr">
        <is>
          <t>32285000595511</t>
        </is>
      </c>
      <c r="BF261" t="inlineStr">
        <is>
          <t>893784111</t>
        </is>
      </c>
    </row>
    <row r="262">
      <c r="A262" t="inlineStr">
        <is>
          <t>No</t>
        </is>
      </c>
      <c r="B262" t="inlineStr">
        <is>
          <t>CURAL</t>
        </is>
      </c>
      <c r="C262" t="inlineStr">
        <is>
          <t>SHELVES</t>
        </is>
      </c>
      <c r="D262" t="inlineStr">
        <is>
          <t>PQ2637.A82 Z597</t>
        </is>
      </c>
      <c r="E262" t="inlineStr">
        <is>
          <t>0                      PQ 2637000A  82                 Z  597</t>
        </is>
      </c>
      <c r="F262" t="inlineStr">
        <is>
          <t>Sartre as biographer / Douglas Collins.</t>
        </is>
      </c>
      <c r="H262" t="inlineStr">
        <is>
          <t>No</t>
        </is>
      </c>
      <c r="I262" t="inlineStr">
        <is>
          <t>1</t>
        </is>
      </c>
      <c r="J262" t="inlineStr">
        <is>
          <t>No</t>
        </is>
      </c>
      <c r="K262" t="inlineStr">
        <is>
          <t>No</t>
        </is>
      </c>
      <c r="L262" t="inlineStr">
        <is>
          <t>0</t>
        </is>
      </c>
      <c r="M262" t="inlineStr">
        <is>
          <t>Collins, Douglas, 1945-</t>
        </is>
      </c>
      <c r="N262" t="inlineStr">
        <is>
          <t>Cambridge, Mass. : Harvard University Press, 1980.</t>
        </is>
      </c>
      <c r="O262" t="inlineStr">
        <is>
          <t>1980</t>
        </is>
      </c>
      <c r="Q262" t="inlineStr">
        <is>
          <t>eng</t>
        </is>
      </c>
      <c r="R262" t="inlineStr">
        <is>
          <t>mau</t>
        </is>
      </c>
      <c r="T262" t="inlineStr">
        <is>
          <t xml:space="preserve">PQ </t>
        </is>
      </c>
      <c r="U262" t="n">
        <v>1</v>
      </c>
      <c r="V262" t="n">
        <v>1</v>
      </c>
      <c r="W262" t="inlineStr">
        <is>
          <t>1992-11-11</t>
        </is>
      </c>
      <c r="X262" t="inlineStr">
        <is>
          <t>1992-11-11</t>
        </is>
      </c>
      <c r="Y262" t="inlineStr">
        <is>
          <t>1991-05-15</t>
        </is>
      </c>
      <c r="Z262" t="inlineStr">
        <is>
          <t>1991-05-15</t>
        </is>
      </c>
      <c r="AA262" t="n">
        <v>689</v>
      </c>
      <c r="AB262" t="n">
        <v>574</v>
      </c>
      <c r="AC262" t="n">
        <v>579</v>
      </c>
      <c r="AD262" t="n">
        <v>6</v>
      </c>
      <c r="AE262" t="n">
        <v>6</v>
      </c>
      <c r="AF262" t="n">
        <v>30</v>
      </c>
      <c r="AG262" t="n">
        <v>30</v>
      </c>
      <c r="AH262" t="n">
        <v>11</v>
      </c>
      <c r="AI262" t="n">
        <v>11</v>
      </c>
      <c r="AJ262" t="n">
        <v>8</v>
      </c>
      <c r="AK262" t="n">
        <v>8</v>
      </c>
      <c r="AL262" t="n">
        <v>16</v>
      </c>
      <c r="AM262" t="n">
        <v>16</v>
      </c>
      <c r="AN262" t="n">
        <v>4</v>
      </c>
      <c r="AO262" t="n">
        <v>4</v>
      </c>
      <c r="AP262" t="n">
        <v>0</v>
      </c>
      <c r="AQ262" t="n">
        <v>0</v>
      </c>
      <c r="AR262" t="inlineStr">
        <is>
          <t>No</t>
        </is>
      </c>
      <c r="AS262" t="inlineStr">
        <is>
          <t>Yes</t>
        </is>
      </c>
      <c r="AT262">
        <f>HYPERLINK("http://catalog.hathitrust.org/Record/000689901","HathiTrust Record")</f>
        <v/>
      </c>
      <c r="AU262">
        <f>HYPERLINK("https://creighton-primo.hosted.exlibrisgroup.com/primo-explore/search?tab=default_tab&amp;search_scope=EVERYTHING&amp;vid=01CRU&amp;lang=en_US&amp;offset=0&amp;query=any,contains,991004870529702656","Catalog Record")</f>
        <v/>
      </c>
      <c r="AV262">
        <f>HYPERLINK("http://www.worldcat.org/oclc/5751283","WorldCat Record")</f>
        <v/>
      </c>
      <c r="AW262" t="inlineStr">
        <is>
          <t>117961615:eng</t>
        </is>
      </c>
      <c r="AX262" t="inlineStr">
        <is>
          <t>5751283</t>
        </is>
      </c>
      <c r="AY262" t="inlineStr">
        <is>
          <t>991004870529702656</t>
        </is>
      </c>
      <c r="AZ262" t="inlineStr">
        <is>
          <t>991004870529702656</t>
        </is>
      </c>
      <c r="BA262" t="inlineStr">
        <is>
          <t>2270138120002656</t>
        </is>
      </c>
      <c r="BB262" t="inlineStr">
        <is>
          <t>BOOK</t>
        </is>
      </c>
      <c r="BD262" t="inlineStr">
        <is>
          <t>9780674789500</t>
        </is>
      </c>
      <c r="BE262" t="inlineStr">
        <is>
          <t>32285000595529</t>
        </is>
      </c>
      <c r="BF262" t="inlineStr">
        <is>
          <t>893260286</t>
        </is>
      </c>
    </row>
    <row r="263">
      <c r="A263" t="inlineStr">
        <is>
          <t>No</t>
        </is>
      </c>
      <c r="B263" t="inlineStr">
        <is>
          <t>CURAL</t>
        </is>
      </c>
      <c r="C263" t="inlineStr">
        <is>
          <t>SHELVES</t>
        </is>
      </c>
      <c r="D263" t="inlineStr">
        <is>
          <t>PQ2637.A82 Z634 1988</t>
        </is>
      </c>
      <c r="E263" t="inlineStr">
        <is>
          <t>0                      PQ 2637000A  82                 Z  634         1988</t>
        </is>
      </c>
      <c r="F263" t="inlineStr">
        <is>
          <t>Critical essays on Jean-Paul Sartre / [edited by] Robert Wilcocks.</t>
        </is>
      </c>
      <c r="H263" t="inlineStr">
        <is>
          <t>No</t>
        </is>
      </c>
      <c r="I263" t="inlineStr">
        <is>
          <t>1</t>
        </is>
      </c>
      <c r="J263" t="inlineStr">
        <is>
          <t>No</t>
        </is>
      </c>
      <c r="K263" t="inlineStr">
        <is>
          <t>No</t>
        </is>
      </c>
      <c r="L263" t="inlineStr">
        <is>
          <t>0</t>
        </is>
      </c>
      <c r="N263" t="inlineStr">
        <is>
          <t>Boston, Mass. : G.K. Hall &amp; Co., c1988.</t>
        </is>
      </c>
      <c r="O263" t="inlineStr">
        <is>
          <t>1988</t>
        </is>
      </c>
      <c r="Q263" t="inlineStr">
        <is>
          <t>eng</t>
        </is>
      </c>
      <c r="R263" t="inlineStr">
        <is>
          <t>mau</t>
        </is>
      </c>
      <c r="S263" t="inlineStr">
        <is>
          <t>Critical essays on world literature</t>
        </is>
      </c>
      <c r="T263" t="inlineStr">
        <is>
          <t xml:space="preserve">PQ </t>
        </is>
      </c>
      <c r="U263" t="n">
        <v>14</v>
      </c>
      <c r="V263" t="n">
        <v>14</v>
      </c>
      <c r="W263" t="inlineStr">
        <is>
          <t>2002-11-26</t>
        </is>
      </c>
      <c r="X263" t="inlineStr">
        <is>
          <t>2002-11-26</t>
        </is>
      </c>
      <c r="Y263" t="inlineStr">
        <is>
          <t>1991-05-15</t>
        </is>
      </c>
      <c r="Z263" t="inlineStr">
        <is>
          <t>1991-05-15</t>
        </is>
      </c>
      <c r="AA263" t="n">
        <v>543</v>
      </c>
      <c r="AB263" t="n">
        <v>453</v>
      </c>
      <c r="AC263" t="n">
        <v>455</v>
      </c>
      <c r="AD263" t="n">
        <v>3</v>
      </c>
      <c r="AE263" t="n">
        <v>3</v>
      </c>
      <c r="AF263" t="n">
        <v>23</v>
      </c>
      <c r="AG263" t="n">
        <v>23</v>
      </c>
      <c r="AH263" t="n">
        <v>11</v>
      </c>
      <c r="AI263" t="n">
        <v>11</v>
      </c>
      <c r="AJ263" t="n">
        <v>6</v>
      </c>
      <c r="AK263" t="n">
        <v>6</v>
      </c>
      <c r="AL263" t="n">
        <v>11</v>
      </c>
      <c r="AM263" t="n">
        <v>11</v>
      </c>
      <c r="AN263" t="n">
        <v>2</v>
      </c>
      <c r="AO263" t="n">
        <v>2</v>
      </c>
      <c r="AP263" t="n">
        <v>0</v>
      </c>
      <c r="AQ263" t="n">
        <v>0</v>
      </c>
      <c r="AR263" t="inlineStr">
        <is>
          <t>No</t>
        </is>
      </c>
      <c r="AS263" t="inlineStr">
        <is>
          <t>Yes</t>
        </is>
      </c>
      <c r="AT263">
        <f>HYPERLINK("http://catalog.hathitrust.org/Record/001534217","HathiTrust Record")</f>
        <v/>
      </c>
      <c r="AU263">
        <f>HYPERLINK("https://creighton-primo.hosted.exlibrisgroup.com/primo-explore/search?tab=default_tab&amp;search_scope=EVERYTHING&amp;vid=01CRU&amp;lang=en_US&amp;offset=0&amp;query=any,contains,991001149239702656","Catalog Record")</f>
        <v/>
      </c>
      <c r="AV263">
        <f>HYPERLINK("http://www.worldcat.org/oclc/16802442","WorldCat Record")</f>
        <v/>
      </c>
      <c r="AW263" t="inlineStr">
        <is>
          <t>13114869:eng</t>
        </is>
      </c>
      <c r="AX263" t="inlineStr">
        <is>
          <t>16802442</t>
        </is>
      </c>
      <c r="AY263" t="inlineStr">
        <is>
          <t>991001149239702656</t>
        </is>
      </c>
      <c r="AZ263" t="inlineStr">
        <is>
          <t>991001149239702656</t>
        </is>
      </c>
      <c r="BA263" t="inlineStr">
        <is>
          <t>2270657410002656</t>
        </is>
      </c>
      <c r="BB263" t="inlineStr">
        <is>
          <t>BOOK</t>
        </is>
      </c>
      <c r="BD263" t="inlineStr">
        <is>
          <t>9780816188390</t>
        </is>
      </c>
      <c r="BE263" t="inlineStr">
        <is>
          <t>32285000595552</t>
        </is>
      </c>
      <c r="BF263" t="inlineStr">
        <is>
          <t>893878658</t>
        </is>
      </c>
    </row>
    <row r="264">
      <c r="A264" t="inlineStr">
        <is>
          <t>No</t>
        </is>
      </c>
      <c r="B264" t="inlineStr">
        <is>
          <t>CURAL</t>
        </is>
      </c>
      <c r="C264" t="inlineStr">
        <is>
          <t>SHELVES</t>
        </is>
      </c>
      <c r="D264" t="inlineStr">
        <is>
          <t>PQ2637.A82 Z647 1987</t>
        </is>
      </c>
      <c r="E264" t="inlineStr">
        <is>
          <t>0                      PQ 2637000A  82                 Z  647         1987</t>
        </is>
      </c>
      <c r="F264" t="inlineStr">
        <is>
          <t>Sartre and 'Les Temps modernes' / Howard Davies.</t>
        </is>
      </c>
      <c r="H264" t="inlineStr">
        <is>
          <t>No</t>
        </is>
      </c>
      <c r="I264" t="inlineStr">
        <is>
          <t>1</t>
        </is>
      </c>
      <c r="J264" t="inlineStr">
        <is>
          <t>No</t>
        </is>
      </c>
      <c r="K264" t="inlineStr">
        <is>
          <t>No</t>
        </is>
      </c>
      <c r="L264" t="inlineStr">
        <is>
          <t>0</t>
        </is>
      </c>
      <c r="M264" t="inlineStr">
        <is>
          <t>Davies, Howard, 1944-</t>
        </is>
      </c>
      <c r="N264" t="inlineStr">
        <is>
          <t>Cambridge [Cambridgeshire] ; New York : Cambridge University Press, 1987.</t>
        </is>
      </c>
      <c r="O264" t="inlineStr">
        <is>
          <t>1987</t>
        </is>
      </c>
      <c r="Q264" t="inlineStr">
        <is>
          <t>eng</t>
        </is>
      </c>
      <c r="R264" t="inlineStr">
        <is>
          <t>enk</t>
        </is>
      </c>
      <c r="S264" t="inlineStr">
        <is>
          <t>Cambridge studies in French</t>
        </is>
      </c>
      <c r="T264" t="inlineStr">
        <is>
          <t xml:space="preserve">PQ </t>
        </is>
      </c>
      <c r="U264" t="n">
        <v>4</v>
      </c>
      <c r="V264" t="n">
        <v>4</v>
      </c>
      <c r="W264" t="inlineStr">
        <is>
          <t>1996-09-21</t>
        </is>
      </c>
      <c r="X264" t="inlineStr">
        <is>
          <t>1996-09-21</t>
        </is>
      </c>
      <c r="Y264" t="inlineStr">
        <is>
          <t>1991-05-15</t>
        </is>
      </c>
      <c r="Z264" t="inlineStr">
        <is>
          <t>1991-05-15</t>
        </is>
      </c>
      <c r="AA264" t="n">
        <v>470</v>
      </c>
      <c r="AB264" t="n">
        <v>337</v>
      </c>
      <c r="AC264" t="n">
        <v>351</v>
      </c>
      <c r="AD264" t="n">
        <v>3</v>
      </c>
      <c r="AE264" t="n">
        <v>3</v>
      </c>
      <c r="AF264" t="n">
        <v>14</v>
      </c>
      <c r="AG264" t="n">
        <v>14</v>
      </c>
      <c r="AH264" t="n">
        <v>4</v>
      </c>
      <c r="AI264" t="n">
        <v>4</v>
      </c>
      <c r="AJ264" t="n">
        <v>4</v>
      </c>
      <c r="AK264" t="n">
        <v>4</v>
      </c>
      <c r="AL264" t="n">
        <v>7</v>
      </c>
      <c r="AM264" t="n">
        <v>7</v>
      </c>
      <c r="AN264" t="n">
        <v>2</v>
      </c>
      <c r="AO264" t="n">
        <v>2</v>
      </c>
      <c r="AP264" t="n">
        <v>0</v>
      </c>
      <c r="AQ264" t="n">
        <v>0</v>
      </c>
      <c r="AR264" t="inlineStr">
        <is>
          <t>No</t>
        </is>
      </c>
      <c r="AS264" t="inlineStr">
        <is>
          <t>Yes</t>
        </is>
      </c>
      <c r="AT264">
        <f>HYPERLINK("http://catalog.hathitrust.org/Record/000827289","HathiTrust Record")</f>
        <v/>
      </c>
      <c r="AU264">
        <f>HYPERLINK("https://creighton-primo.hosted.exlibrisgroup.com/primo-explore/search?tab=default_tab&amp;search_scope=EVERYTHING&amp;vid=01CRU&amp;lang=en_US&amp;offset=0&amp;query=any,contains,991000914129702656","Catalog Record")</f>
        <v/>
      </c>
      <c r="AV264">
        <f>HYPERLINK("http://www.worldcat.org/oclc/14165605","WorldCat Record")</f>
        <v/>
      </c>
      <c r="AW264" t="inlineStr">
        <is>
          <t>117891672:eng</t>
        </is>
      </c>
      <c r="AX264" t="inlineStr">
        <is>
          <t>14165605</t>
        </is>
      </c>
      <c r="AY264" t="inlineStr">
        <is>
          <t>991000914129702656</t>
        </is>
      </c>
      <c r="AZ264" t="inlineStr">
        <is>
          <t>991000914129702656</t>
        </is>
      </c>
      <c r="BA264" t="inlineStr">
        <is>
          <t>2270254010002656</t>
        </is>
      </c>
      <c r="BB264" t="inlineStr">
        <is>
          <t>BOOK</t>
        </is>
      </c>
      <c r="BD264" t="inlineStr">
        <is>
          <t>9780521325530</t>
        </is>
      </c>
      <c r="BE264" t="inlineStr">
        <is>
          <t>32285000595560</t>
        </is>
      </c>
      <c r="BF264" t="inlineStr">
        <is>
          <t>893315350</t>
        </is>
      </c>
    </row>
    <row r="265">
      <c r="A265" t="inlineStr">
        <is>
          <t>No</t>
        </is>
      </c>
      <c r="B265" t="inlineStr">
        <is>
          <t>CURAL</t>
        </is>
      </c>
      <c r="C265" t="inlineStr">
        <is>
          <t>SHELVES</t>
        </is>
      </c>
      <c r="D265" t="inlineStr">
        <is>
          <t>PQ2637.A82 Z725</t>
        </is>
      </c>
      <c r="E265" t="inlineStr">
        <is>
          <t>0                      PQ 2637000A  82                 Z  725</t>
        </is>
      </c>
      <c r="F265" t="inlineStr">
        <is>
          <t>Critical fictions : the literary criticism of Jean-Paul Sartre / Joseph Halpern.</t>
        </is>
      </c>
      <c r="H265" t="inlineStr">
        <is>
          <t>No</t>
        </is>
      </c>
      <c r="I265" t="inlineStr">
        <is>
          <t>1</t>
        </is>
      </c>
      <c r="J265" t="inlineStr">
        <is>
          <t>No</t>
        </is>
      </c>
      <c r="K265" t="inlineStr">
        <is>
          <t>No</t>
        </is>
      </c>
      <c r="L265" t="inlineStr">
        <is>
          <t>0</t>
        </is>
      </c>
      <c r="M265" t="inlineStr">
        <is>
          <t>Halpern, Joseph.</t>
        </is>
      </c>
      <c r="N265" t="inlineStr">
        <is>
          <t>New Haven : Yale University Press, 1976.</t>
        </is>
      </c>
      <c r="O265" t="inlineStr">
        <is>
          <t>1976</t>
        </is>
      </c>
      <c r="Q265" t="inlineStr">
        <is>
          <t>eng</t>
        </is>
      </c>
      <c r="R265" t="inlineStr">
        <is>
          <t>ctu</t>
        </is>
      </c>
      <c r="S265" t="inlineStr">
        <is>
          <t>Yale Romanic studies ; 2d ser., 26</t>
        </is>
      </c>
      <c r="T265" t="inlineStr">
        <is>
          <t xml:space="preserve">PQ </t>
        </is>
      </c>
      <c r="U265" t="n">
        <v>2</v>
      </c>
      <c r="V265" t="n">
        <v>2</v>
      </c>
      <c r="W265" t="inlineStr">
        <is>
          <t>1992-04-22</t>
        </is>
      </c>
      <c r="X265" t="inlineStr">
        <is>
          <t>1992-04-22</t>
        </is>
      </c>
      <c r="Y265" t="inlineStr">
        <is>
          <t>1990-11-19</t>
        </is>
      </c>
      <c r="Z265" t="inlineStr">
        <is>
          <t>1990-11-19</t>
        </is>
      </c>
      <c r="AA265" t="n">
        <v>727</v>
      </c>
      <c r="AB265" t="n">
        <v>590</v>
      </c>
      <c r="AC265" t="n">
        <v>591</v>
      </c>
      <c r="AD265" t="n">
        <v>3</v>
      </c>
      <c r="AE265" t="n">
        <v>3</v>
      </c>
      <c r="AF265" t="n">
        <v>28</v>
      </c>
      <c r="AG265" t="n">
        <v>28</v>
      </c>
      <c r="AH265" t="n">
        <v>10</v>
      </c>
      <c r="AI265" t="n">
        <v>10</v>
      </c>
      <c r="AJ265" t="n">
        <v>8</v>
      </c>
      <c r="AK265" t="n">
        <v>8</v>
      </c>
      <c r="AL265" t="n">
        <v>15</v>
      </c>
      <c r="AM265" t="n">
        <v>15</v>
      </c>
      <c r="AN265" t="n">
        <v>2</v>
      </c>
      <c r="AO265" t="n">
        <v>2</v>
      </c>
      <c r="AP265" t="n">
        <v>0</v>
      </c>
      <c r="AQ265" t="n">
        <v>0</v>
      </c>
      <c r="AR265" t="inlineStr">
        <is>
          <t>No</t>
        </is>
      </c>
      <c r="AS265" t="inlineStr">
        <is>
          <t>No</t>
        </is>
      </c>
      <c r="AU265">
        <f>HYPERLINK("https://creighton-primo.hosted.exlibrisgroup.com/primo-explore/search?tab=default_tab&amp;search_scope=EVERYTHING&amp;vid=01CRU&amp;lang=en_US&amp;offset=0&amp;query=any,contains,991003997079702656","Catalog Record")</f>
        <v/>
      </c>
      <c r="AV265">
        <f>HYPERLINK("http://www.worldcat.org/oclc/2064310","WorldCat Record")</f>
        <v/>
      </c>
      <c r="AW265" t="inlineStr">
        <is>
          <t>865031889:eng</t>
        </is>
      </c>
      <c r="AX265" t="inlineStr">
        <is>
          <t>2064310</t>
        </is>
      </c>
      <c r="AY265" t="inlineStr">
        <is>
          <t>991003997079702656</t>
        </is>
      </c>
      <c r="AZ265" t="inlineStr">
        <is>
          <t>991003997079702656</t>
        </is>
      </c>
      <c r="BA265" t="inlineStr">
        <is>
          <t>2263277570002656</t>
        </is>
      </c>
      <c r="BB265" t="inlineStr">
        <is>
          <t>BOOK</t>
        </is>
      </c>
      <c r="BD265" t="inlineStr">
        <is>
          <t>9780300019438</t>
        </is>
      </c>
      <c r="BE265" t="inlineStr">
        <is>
          <t>32285000397124</t>
        </is>
      </c>
      <c r="BF265" t="inlineStr">
        <is>
          <t>893900661</t>
        </is>
      </c>
    </row>
    <row r="266">
      <c r="A266" t="inlineStr">
        <is>
          <t>No</t>
        </is>
      </c>
      <c r="B266" t="inlineStr">
        <is>
          <t>CURAL</t>
        </is>
      </c>
      <c r="C266" t="inlineStr">
        <is>
          <t>SHELVES</t>
        </is>
      </c>
      <c r="D266" t="inlineStr">
        <is>
          <t>PQ2637.A82 Z76</t>
        </is>
      </c>
      <c r="E266" t="inlineStr">
        <is>
          <t>0                      PQ 2637000A  82                 Z  76</t>
        </is>
      </c>
      <c r="F266" t="inlineStr">
        <is>
          <t>Sartre : a collection of critical essays.</t>
        </is>
      </c>
      <c r="H266" t="inlineStr">
        <is>
          <t>No</t>
        </is>
      </c>
      <c r="I266" t="inlineStr">
        <is>
          <t>1</t>
        </is>
      </c>
      <c r="J266" t="inlineStr">
        <is>
          <t>No</t>
        </is>
      </c>
      <c r="K266" t="inlineStr">
        <is>
          <t>No</t>
        </is>
      </c>
      <c r="L266" t="inlineStr">
        <is>
          <t>0</t>
        </is>
      </c>
      <c r="M266" t="inlineStr">
        <is>
          <t>Kern, Edith, 1912-2005, editor.</t>
        </is>
      </c>
      <c r="N266" t="inlineStr">
        <is>
          <t>Englewood Cliffs, N.J. : Prentice-Hall, [1962]</t>
        </is>
      </c>
      <c r="O266" t="inlineStr">
        <is>
          <t>1962</t>
        </is>
      </c>
      <c r="Q266" t="inlineStr">
        <is>
          <t>eng</t>
        </is>
      </c>
      <c r="R266" t="inlineStr">
        <is>
          <t>nju</t>
        </is>
      </c>
      <c r="S266" t="inlineStr">
        <is>
          <t>A Spectrum book, S-TC-21.</t>
        </is>
      </c>
      <c r="T266" t="inlineStr">
        <is>
          <t xml:space="preserve">PQ </t>
        </is>
      </c>
      <c r="U266" t="n">
        <v>6</v>
      </c>
      <c r="V266" t="n">
        <v>6</v>
      </c>
      <c r="W266" t="inlineStr">
        <is>
          <t>1995-04-08</t>
        </is>
      </c>
      <c r="X266" t="inlineStr">
        <is>
          <t>1995-04-08</t>
        </is>
      </c>
      <c r="Y266" t="inlineStr">
        <is>
          <t>1992-01-30</t>
        </is>
      </c>
      <c r="Z266" t="inlineStr">
        <is>
          <t>1992-01-30</t>
        </is>
      </c>
      <c r="AA266" t="n">
        <v>2103</v>
      </c>
      <c r="AB266" t="n">
        <v>1870</v>
      </c>
      <c r="AC266" t="n">
        <v>1881</v>
      </c>
      <c r="AD266" t="n">
        <v>15</v>
      </c>
      <c r="AE266" t="n">
        <v>15</v>
      </c>
      <c r="AF266" t="n">
        <v>59</v>
      </c>
      <c r="AG266" t="n">
        <v>59</v>
      </c>
      <c r="AH266" t="n">
        <v>25</v>
      </c>
      <c r="AI266" t="n">
        <v>25</v>
      </c>
      <c r="AJ266" t="n">
        <v>11</v>
      </c>
      <c r="AK266" t="n">
        <v>11</v>
      </c>
      <c r="AL266" t="n">
        <v>24</v>
      </c>
      <c r="AM266" t="n">
        <v>24</v>
      </c>
      <c r="AN266" t="n">
        <v>11</v>
      </c>
      <c r="AO266" t="n">
        <v>11</v>
      </c>
      <c r="AP266" t="n">
        <v>0</v>
      </c>
      <c r="AQ266" t="n">
        <v>0</v>
      </c>
      <c r="AR266" t="inlineStr">
        <is>
          <t>No</t>
        </is>
      </c>
      <c r="AS266" t="inlineStr">
        <is>
          <t>Yes</t>
        </is>
      </c>
      <c r="AT266">
        <f>HYPERLINK("http://catalog.hathitrust.org/Record/001015596","HathiTrust Record")</f>
        <v/>
      </c>
      <c r="AU266">
        <f>HYPERLINK("https://creighton-primo.hosted.exlibrisgroup.com/primo-explore/search?tab=default_tab&amp;search_scope=EVERYTHING&amp;vid=01CRU&amp;lang=en_US&amp;offset=0&amp;query=any,contains,991001058299702656","Catalog Record")</f>
        <v/>
      </c>
      <c r="AV266">
        <f>HYPERLINK("http://www.worldcat.org/oclc/177815","WorldCat Record")</f>
        <v/>
      </c>
      <c r="AW266" t="inlineStr">
        <is>
          <t>3769132712:eng</t>
        </is>
      </c>
      <c r="AX266" t="inlineStr">
        <is>
          <t>177815</t>
        </is>
      </c>
      <c r="AY266" t="inlineStr">
        <is>
          <t>991001058299702656</t>
        </is>
      </c>
      <c r="AZ266" t="inlineStr">
        <is>
          <t>991001058299702656</t>
        </is>
      </c>
      <c r="BA266" t="inlineStr">
        <is>
          <t>2266367210002656</t>
        </is>
      </c>
      <c r="BB266" t="inlineStr">
        <is>
          <t>BOOK</t>
        </is>
      </c>
      <c r="BE266" t="inlineStr">
        <is>
          <t>32285000931088</t>
        </is>
      </c>
      <c r="BF266" t="inlineStr">
        <is>
          <t>893407791</t>
        </is>
      </c>
    </row>
    <row r="267">
      <c r="A267" t="inlineStr">
        <is>
          <t>No</t>
        </is>
      </c>
      <c r="B267" t="inlineStr">
        <is>
          <t>CURAL</t>
        </is>
      </c>
      <c r="C267" t="inlineStr">
        <is>
          <t>SHELVES</t>
        </is>
      </c>
      <c r="D267" t="inlineStr">
        <is>
          <t>PQ2637.A82 Z785 1974</t>
        </is>
      </c>
      <c r="E267" t="inlineStr">
        <is>
          <t>0                      PQ 2637000A  82                 Z  785         1974</t>
        </is>
      </c>
      <c r="F267" t="inlineStr">
        <is>
          <t>Sartre : a study.</t>
        </is>
      </c>
      <c r="H267" t="inlineStr">
        <is>
          <t>No</t>
        </is>
      </c>
      <c r="I267" t="inlineStr">
        <is>
          <t>1</t>
        </is>
      </c>
      <c r="J267" t="inlineStr">
        <is>
          <t>No</t>
        </is>
      </c>
      <c r="K267" t="inlineStr">
        <is>
          <t>No</t>
        </is>
      </c>
      <c r="L267" t="inlineStr">
        <is>
          <t>0</t>
        </is>
      </c>
      <c r="M267" t="inlineStr">
        <is>
          <t>Masters, Brian.</t>
        </is>
      </c>
      <c r="N267" t="inlineStr">
        <is>
          <t>London : Heinemann ; Totowa, N.J. : Rowman and Littlefield, [1974, c1970]</t>
        </is>
      </c>
      <c r="O267" t="inlineStr">
        <is>
          <t>1974</t>
        </is>
      </c>
      <c r="Q267" t="inlineStr">
        <is>
          <t>eng</t>
        </is>
      </c>
      <c r="R267" t="inlineStr">
        <is>
          <t>enk</t>
        </is>
      </c>
      <c r="T267" t="inlineStr">
        <is>
          <t xml:space="preserve">PQ </t>
        </is>
      </c>
      <c r="U267" t="n">
        <v>3</v>
      </c>
      <c r="V267" t="n">
        <v>3</v>
      </c>
      <c r="W267" t="inlineStr">
        <is>
          <t>1997-12-10</t>
        </is>
      </c>
      <c r="X267" t="inlineStr">
        <is>
          <t>1997-12-10</t>
        </is>
      </c>
      <c r="Y267" t="inlineStr">
        <is>
          <t>1990-11-19</t>
        </is>
      </c>
      <c r="Z267" t="inlineStr">
        <is>
          <t>1990-11-19</t>
        </is>
      </c>
      <c r="AA267" t="n">
        <v>507</v>
      </c>
      <c r="AB267" t="n">
        <v>419</v>
      </c>
      <c r="AC267" t="n">
        <v>427</v>
      </c>
      <c r="AD267" t="n">
        <v>4</v>
      </c>
      <c r="AE267" t="n">
        <v>4</v>
      </c>
      <c r="AF267" t="n">
        <v>16</v>
      </c>
      <c r="AG267" t="n">
        <v>16</v>
      </c>
      <c r="AH267" t="n">
        <v>4</v>
      </c>
      <c r="AI267" t="n">
        <v>4</v>
      </c>
      <c r="AJ267" t="n">
        <v>5</v>
      </c>
      <c r="AK267" t="n">
        <v>5</v>
      </c>
      <c r="AL267" t="n">
        <v>8</v>
      </c>
      <c r="AM267" t="n">
        <v>8</v>
      </c>
      <c r="AN267" t="n">
        <v>3</v>
      </c>
      <c r="AO267" t="n">
        <v>3</v>
      </c>
      <c r="AP267" t="n">
        <v>0</v>
      </c>
      <c r="AQ267" t="n">
        <v>0</v>
      </c>
      <c r="AR267" t="inlineStr">
        <is>
          <t>No</t>
        </is>
      </c>
      <c r="AS267" t="inlineStr">
        <is>
          <t>Yes</t>
        </is>
      </c>
      <c r="AT267">
        <f>HYPERLINK("http://catalog.hathitrust.org/Record/000017757","HathiTrust Record")</f>
        <v/>
      </c>
      <c r="AU267">
        <f>HYPERLINK("https://creighton-primo.hosted.exlibrisgroup.com/primo-explore/search?tab=default_tab&amp;search_scope=EVERYTHING&amp;vid=01CRU&amp;lang=en_US&amp;offset=0&amp;query=any,contains,991003485419702656","Catalog Record")</f>
        <v/>
      </c>
      <c r="AV267">
        <f>HYPERLINK("http://www.worldcat.org/oclc/1032570","WorldCat Record")</f>
        <v/>
      </c>
      <c r="AW267" t="inlineStr">
        <is>
          <t>5061556277:eng</t>
        </is>
      </c>
      <c r="AX267" t="inlineStr">
        <is>
          <t>1032570</t>
        </is>
      </c>
      <c r="AY267" t="inlineStr">
        <is>
          <t>991003485419702656</t>
        </is>
      </c>
      <c r="AZ267" t="inlineStr">
        <is>
          <t>991003485419702656</t>
        </is>
      </c>
      <c r="BA267" t="inlineStr">
        <is>
          <t>2268038780002656</t>
        </is>
      </c>
      <c r="BB267" t="inlineStr">
        <is>
          <t>BOOK</t>
        </is>
      </c>
      <c r="BD267" t="inlineStr">
        <is>
          <t>9780874714968</t>
        </is>
      </c>
      <c r="BE267" t="inlineStr">
        <is>
          <t>32285000397132</t>
        </is>
      </c>
      <c r="BF267" t="inlineStr">
        <is>
          <t>893881207</t>
        </is>
      </c>
    </row>
    <row r="268">
      <c r="A268" t="inlineStr">
        <is>
          <t>No</t>
        </is>
      </c>
      <c r="B268" t="inlineStr">
        <is>
          <t>CURAL</t>
        </is>
      </c>
      <c r="C268" t="inlineStr">
        <is>
          <t>SHELVES</t>
        </is>
      </c>
      <c r="D268" t="inlineStr">
        <is>
          <t>PQ2637.A82 Z834188 1991</t>
        </is>
      </c>
      <c r="E268" t="inlineStr">
        <is>
          <t>0                      PQ 2637000A  82                 Z  834188      1991</t>
        </is>
      </c>
      <c r="F268" t="inlineStr">
        <is>
          <t>Sartre alive / edited by Ronald Aronson and Adrian van den Hoven.</t>
        </is>
      </c>
      <c r="H268" t="inlineStr">
        <is>
          <t>No</t>
        </is>
      </c>
      <c r="I268" t="inlineStr">
        <is>
          <t>1</t>
        </is>
      </c>
      <c r="J268" t="inlineStr">
        <is>
          <t>No</t>
        </is>
      </c>
      <c r="K268" t="inlineStr">
        <is>
          <t>No</t>
        </is>
      </c>
      <c r="L268" t="inlineStr">
        <is>
          <t>0</t>
        </is>
      </c>
      <c r="N268" t="inlineStr">
        <is>
          <t>Detroit : Wayne State University Press, c1991.</t>
        </is>
      </c>
      <c r="O268" t="inlineStr">
        <is>
          <t>1991</t>
        </is>
      </c>
      <c r="Q268" t="inlineStr">
        <is>
          <t>eng</t>
        </is>
      </c>
      <c r="R268" t="inlineStr">
        <is>
          <t>miu</t>
        </is>
      </c>
      <c r="T268" t="inlineStr">
        <is>
          <t xml:space="preserve">PQ </t>
        </is>
      </c>
      <c r="U268" t="n">
        <v>12</v>
      </c>
      <c r="V268" t="n">
        <v>12</v>
      </c>
      <c r="W268" t="inlineStr">
        <is>
          <t>2004-09-18</t>
        </is>
      </c>
      <c r="X268" t="inlineStr">
        <is>
          <t>2004-09-18</t>
        </is>
      </c>
      <c r="Y268" t="inlineStr">
        <is>
          <t>1991-12-13</t>
        </is>
      </c>
      <c r="Z268" t="inlineStr">
        <is>
          <t>1991-12-13</t>
        </is>
      </c>
      <c r="AA268" t="n">
        <v>523</v>
      </c>
      <c r="AB268" t="n">
        <v>443</v>
      </c>
      <c r="AC268" t="n">
        <v>443</v>
      </c>
      <c r="AD268" t="n">
        <v>4</v>
      </c>
      <c r="AE268" t="n">
        <v>4</v>
      </c>
      <c r="AF268" t="n">
        <v>23</v>
      </c>
      <c r="AG268" t="n">
        <v>23</v>
      </c>
      <c r="AH268" t="n">
        <v>10</v>
      </c>
      <c r="AI268" t="n">
        <v>10</v>
      </c>
      <c r="AJ268" t="n">
        <v>6</v>
      </c>
      <c r="AK268" t="n">
        <v>6</v>
      </c>
      <c r="AL268" t="n">
        <v>12</v>
      </c>
      <c r="AM268" t="n">
        <v>12</v>
      </c>
      <c r="AN268" t="n">
        <v>3</v>
      </c>
      <c r="AO268" t="n">
        <v>3</v>
      </c>
      <c r="AP268" t="n">
        <v>0</v>
      </c>
      <c r="AQ268" t="n">
        <v>0</v>
      </c>
      <c r="AR268" t="inlineStr">
        <is>
          <t>No</t>
        </is>
      </c>
      <c r="AS268" t="inlineStr">
        <is>
          <t>No</t>
        </is>
      </c>
      <c r="AU268">
        <f>HYPERLINK("https://creighton-primo.hosted.exlibrisgroup.com/primo-explore/search?tab=default_tab&amp;search_scope=EVERYTHING&amp;vid=01CRU&amp;lang=en_US&amp;offset=0&amp;query=any,contains,991001705249702656","Catalog Record")</f>
        <v/>
      </c>
      <c r="AV268">
        <f>HYPERLINK("http://www.worldcat.org/oclc/21561274","WorldCat Record")</f>
        <v/>
      </c>
      <c r="AW268" t="inlineStr">
        <is>
          <t>355654149:eng</t>
        </is>
      </c>
      <c r="AX268" t="inlineStr">
        <is>
          <t>21561274</t>
        </is>
      </c>
      <c r="AY268" t="inlineStr">
        <is>
          <t>991001705249702656</t>
        </is>
      </c>
      <c r="AZ268" t="inlineStr">
        <is>
          <t>991001705249702656</t>
        </is>
      </c>
      <c r="BA268" t="inlineStr">
        <is>
          <t>2265059420002656</t>
        </is>
      </c>
      <c r="BB268" t="inlineStr">
        <is>
          <t>BOOK</t>
        </is>
      </c>
      <c r="BD268" t="inlineStr">
        <is>
          <t>9780814321775</t>
        </is>
      </c>
      <c r="BE268" t="inlineStr">
        <is>
          <t>32285000819291</t>
        </is>
      </c>
      <c r="BF268" t="inlineStr">
        <is>
          <t>893315979</t>
        </is>
      </c>
    </row>
    <row r="269">
      <c r="A269" t="inlineStr">
        <is>
          <t>No</t>
        </is>
      </c>
      <c r="B269" t="inlineStr">
        <is>
          <t>CURAL</t>
        </is>
      </c>
      <c r="C269" t="inlineStr">
        <is>
          <t>SHELVES</t>
        </is>
      </c>
      <c r="D269" t="inlineStr">
        <is>
          <t>PQ2637.A82 Z84</t>
        </is>
      </c>
      <c r="E269" t="inlineStr">
        <is>
          <t>0                      PQ 2637000A  82                 Z  84</t>
        </is>
      </c>
      <c r="F269" t="inlineStr">
        <is>
          <t>Jean-Paul Sartre : the philosopher as a literary critic.</t>
        </is>
      </c>
      <c r="H269" t="inlineStr">
        <is>
          <t>No</t>
        </is>
      </c>
      <c r="I269" t="inlineStr">
        <is>
          <t>1</t>
        </is>
      </c>
      <c r="J269" t="inlineStr">
        <is>
          <t>No</t>
        </is>
      </c>
      <c r="K269" t="inlineStr">
        <is>
          <t>No</t>
        </is>
      </c>
      <c r="L269" t="inlineStr">
        <is>
          <t>0</t>
        </is>
      </c>
      <c r="M269" t="inlineStr">
        <is>
          <t>Suhl, Benjamin.</t>
        </is>
      </c>
      <c r="N269" t="inlineStr">
        <is>
          <t>New York : Columbia University Press, 1970.</t>
        </is>
      </c>
      <c r="O269" t="inlineStr">
        <is>
          <t>1970</t>
        </is>
      </c>
      <c r="Q269" t="inlineStr">
        <is>
          <t>eng</t>
        </is>
      </c>
      <c r="R269" t="inlineStr">
        <is>
          <t>nyu</t>
        </is>
      </c>
      <c r="T269" t="inlineStr">
        <is>
          <t xml:space="preserve">PQ </t>
        </is>
      </c>
      <c r="U269" t="n">
        <v>2</v>
      </c>
      <c r="V269" t="n">
        <v>2</v>
      </c>
      <c r="W269" t="inlineStr">
        <is>
          <t>1995-04-08</t>
        </is>
      </c>
      <c r="X269" t="inlineStr">
        <is>
          <t>1995-04-08</t>
        </is>
      </c>
      <c r="Y269" t="inlineStr">
        <is>
          <t>1990-11-30</t>
        </is>
      </c>
      <c r="Z269" t="inlineStr">
        <is>
          <t>1990-11-30</t>
        </is>
      </c>
      <c r="AA269" t="n">
        <v>1114</v>
      </c>
      <c r="AB269" t="n">
        <v>949</v>
      </c>
      <c r="AC269" t="n">
        <v>962</v>
      </c>
      <c r="AD269" t="n">
        <v>7</v>
      </c>
      <c r="AE269" t="n">
        <v>7</v>
      </c>
      <c r="AF269" t="n">
        <v>47</v>
      </c>
      <c r="AG269" t="n">
        <v>47</v>
      </c>
      <c r="AH269" t="n">
        <v>20</v>
      </c>
      <c r="AI269" t="n">
        <v>20</v>
      </c>
      <c r="AJ269" t="n">
        <v>10</v>
      </c>
      <c r="AK269" t="n">
        <v>10</v>
      </c>
      <c r="AL269" t="n">
        <v>21</v>
      </c>
      <c r="AM269" t="n">
        <v>21</v>
      </c>
      <c r="AN269" t="n">
        <v>6</v>
      </c>
      <c r="AO269" t="n">
        <v>6</v>
      </c>
      <c r="AP269" t="n">
        <v>0</v>
      </c>
      <c r="AQ269" t="n">
        <v>0</v>
      </c>
      <c r="AR269" t="inlineStr">
        <is>
          <t>No</t>
        </is>
      </c>
      <c r="AS269" t="inlineStr">
        <is>
          <t>No</t>
        </is>
      </c>
      <c r="AU269">
        <f>HYPERLINK("https://creighton-primo.hosted.exlibrisgroup.com/primo-explore/search?tab=default_tab&amp;search_scope=EVERYTHING&amp;vid=01CRU&amp;lang=en_US&amp;offset=0&amp;query=any,contains,991000604569702656","Catalog Record")</f>
        <v/>
      </c>
      <c r="AV269">
        <f>HYPERLINK("http://www.worldcat.org/oclc/98658","WorldCat Record")</f>
        <v/>
      </c>
      <c r="AW269" t="inlineStr">
        <is>
          <t>1330006:eng</t>
        </is>
      </c>
      <c r="AX269" t="inlineStr">
        <is>
          <t>98658</t>
        </is>
      </c>
      <c r="AY269" t="inlineStr">
        <is>
          <t>991000604569702656</t>
        </is>
      </c>
      <c r="AZ269" t="inlineStr">
        <is>
          <t>991000604569702656</t>
        </is>
      </c>
      <c r="BA269" t="inlineStr">
        <is>
          <t>2272004460002656</t>
        </is>
      </c>
      <c r="BB269" t="inlineStr">
        <is>
          <t>BOOK</t>
        </is>
      </c>
      <c r="BD269" t="inlineStr">
        <is>
          <t>9780231033381</t>
        </is>
      </c>
      <c r="BE269" t="inlineStr">
        <is>
          <t>32285000411180</t>
        </is>
      </c>
      <c r="BF269" t="inlineStr">
        <is>
          <t>893796815</t>
        </is>
      </c>
    </row>
    <row r="270">
      <c r="A270" t="inlineStr">
        <is>
          <t>No</t>
        </is>
      </c>
      <c r="B270" t="inlineStr">
        <is>
          <t>CURAL</t>
        </is>
      </c>
      <c r="C270" t="inlineStr">
        <is>
          <t>SHELVES</t>
        </is>
      </c>
      <c r="D270" t="inlineStr">
        <is>
          <t>PQ2637.A82 Z85</t>
        </is>
      </c>
      <c r="E270" t="inlineStr">
        <is>
          <t>0                      PQ 2637000A  82                 Z  85</t>
        </is>
      </c>
      <c r="F270" t="inlineStr">
        <is>
          <t>Jean-Paul Sartre, a literary and political study.</t>
        </is>
      </c>
      <c r="H270" t="inlineStr">
        <is>
          <t>No</t>
        </is>
      </c>
      <c r="I270" t="inlineStr">
        <is>
          <t>1</t>
        </is>
      </c>
      <c r="J270" t="inlineStr">
        <is>
          <t>No</t>
        </is>
      </c>
      <c r="K270" t="inlineStr">
        <is>
          <t>No</t>
        </is>
      </c>
      <c r="L270" t="inlineStr">
        <is>
          <t>0</t>
        </is>
      </c>
      <c r="M270" t="inlineStr">
        <is>
          <t>Thody, Philip, 1928-1999.</t>
        </is>
      </c>
      <c r="N270" t="inlineStr">
        <is>
          <t>London, H. Hamilton [1960]</t>
        </is>
      </c>
      <c r="O270" t="inlineStr">
        <is>
          <t>1960</t>
        </is>
      </c>
      <c r="Q270" t="inlineStr">
        <is>
          <t>eng</t>
        </is>
      </c>
      <c r="R270" t="inlineStr">
        <is>
          <t>enk</t>
        </is>
      </c>
      <c r="T270" t="inlineStr">
        <is>
          <t xml:space="preserve">PQ </t>
        </is>
      </c>
      <c r="U270" t="n">
        <v>1</v>
      </c>
      <c r="V270" t="n">
        <v>1</v>
      </c>
      <c r="W270" t="inlineStr">
        <is>
          <t>1997-12-10</t>
        </is>
      </c>
      <c r="X270" t="inlineStr">
        <is>
          <t>1997-12-10</t>
        </is>
      </c>
      <c r="Y270" t="inlineStr">
        <is>
          <t>1997-06-16</t>
        </is>
      </c>
      <c r="Z270" t="inlineStr">
        <is>
          <t>1997-06-16</t>
        </is>
      </c>
      <c r="AA270" t="n">
        <v>329</v>
      </c>
      <c r="AB270" t="n">
        <v>210</v>
      </c>
      <c r="AC270" t="n">
        <v>526</v>
      </c>
      <c r="AD270" t="n">
        <v>1</v>
      </c>
      <c r="AE270" t="n">
        <v>4</v>
      </c>
      <c r="AF270" t="n">
        <v>7</v>
      </c>
      <c r="AG270" t="n">
        <v>22</v>
      </c>
      <c r="AH270" t="n">
        <v>1</v>
      </c>
      <c r="AI270" t="n">
        <v>6</v>
      </c>
      <c r="AJ270" t="n">
        <v>4</v>
      </c>
      <c r="AK270" t="n">
        <v>7</v>
      </c>
      <c r="AL270" t="n">
        <v>5</v>
      </c>
      <c r="AM270" t="n">
        <v>13</v>
      </c>
      <c r="AN270" t="n">
        <v>0</v>
      </c>
      <c r="AO270" t="n">
        <v>3</v>
      </c>
      <c r="AP270" t="n">
        <v>0</v>
      </c>
      <c r="AQ270" t="n">
        <v>0</v>
      </c>
      <c r="AR270" t="inlineStr">
        <is>
          <t>No</t>
        </is>
      </c>
      <c r="AS270" t="inlineStr">
        <is>
          <t>Yes</t>
        </is>
      </c>
      <c r="AT270">
        <f>HYPERLINK("http://catalog.hathitrust.org/Record/007128814","HathiTrust Record")</f>
        <v/>
      </c>
      <c r="AU270">
        <f>HYPERLINK("https://creighton-primo.hosted.exlibrisgroup.com/primo-explore/search?tab=default_tab&amp;search_scope=EVERYTHING&amp;vid=01CRU&amp;lang=en_US&amp;offset=0&amp;query=any,contains,991001007769702656","Catalog Record")</f>
        <v/>
      </c>
      <c r="AV270">
        <f>HYPERLINK("http://www.worldcat.org/oclc/173105","WorldCat Record")</f>
        <v/>
      </c>
      <c r="AW270" t="inlineStr">
        <is>
          <t>1302399:eng</t>
        </is>
      </c>
      <c r="AX270" t="inlineStr">
        <is>
          <t>173105</t>
        </is>
      </c>
      <c r="AY270" t="inlineStr">
        <is>
          <t>991001007769702656</t>
        </is>
      </c>
      <c r="AZ270" t="inlineStr">
        <is>
          <t>991001007769702656</t>
        </is>
      </c>
      <c r="BA270" t="inlineStr">
        <is>
          <t>2268371930002656</t>
        </is>
      </c>
      <c r="BB270" t="inlineStr">
        <is>
          <t>BOOK</t>
        </is>
      </c>
      <c r="BE270" t="inlineStr">
        <is>
          <t>32285002796729</t>
        </is>
      </c>
      <c r="BF270" t="inlineStr">
        <is>
          <t>893621000</t>
        </is>
      </c>
    </row>
    <row r="271">
      <c r="A271" t="inlineStr">
        <is>
          <t>No</t>
        </is>
      </c>
      <c r="B271" t="inlineStr">
        <is>
          <t>CURAL</t>
        </is>
      </c>
      <c r="C271" t="inlineStr">
        <is>
          <t>SHELVES</t>
        </is>
      </c>
      <c r="D271" t="inlineStr">
        <is>
          <t>PQ2639.H368 Z5</t>
        </is>
      </c>
      <c r="E271" t="inlineStr">
        <is>
          <t>0                      PQ 2639000H  368                Z  5</t>
        </is>
      </c>
      <c r="F271" t="inlineStr">
        <is>
          <t>Révolutionnaires sans révolution.</t>
        </is>
      </c>
      <c r="H271" t="inlineStr">
        <is>
          <t>No</t>
        </is>
      </c>
      <c r="I271" t="inlineStr">
        <is>
          <t>1</t>
        </is>
      </c>
      <c r="J271" t="inlineStr">
        <is>
          <t>No</t>
        </is>
      </c>
      <c r="K271" t="inlineStr">
        <is>
          <t>No</t>
        </is>
      </c>
      <c r="L271" t="inlineStr">
        <is>
          <t>0</t>
        </is>
      </c>
      <c r="M271" t="inlineStr">
        <is>
          <t>Thirion, André, 1907-2001.</t>
        </is>
      </c>
      <c r="N271" t="inlineStr">
        <is>
          <t>Paris, R. Laffont [1972]</t>
        </is>
      </c>
      <c r="O271" t="inlineStr">
        <is>
          <t>1972</t>
        </is>
      </c>
      <c r="Q271" t="inlineStr">
        <is>
          <t>fre</t>
        </is>
      </c>
      <c r="R271" t="inlineStr">
        <is>
          <t xml:space="preserve">fr </t>
        </is>
      </c>
      <c r="T271" t="inlineStr">
        <is>
          <t xml:space="preserve">PQ </t>
        </is>
      </c>
      <c r="U271" t="n">
        <v>2</v>
      </c>
      <c r="V271" t="n">
        <v>2</v>
      </c>
      <c r="W271" t="inlineStr">
        <is>
          <t>1997-08-18</t>
        </is>
      </c>
      <c r="X271" t="inlineStr">
        <is>
          <t>1997-08-18</t>
        </is>
      </c>
      <c r="Y271" t="inlineStr">
        <is>
          <t>1997-06-16</t>
        </is>
      </c>
      <c r="Z271" t="inlineStr">
        <is>
          <t>1997-06-16</t>
        </is>
      </c>
      <c r="AA271" t="n">
        <v>165</v>
      </c>
      <c r="AB271" t="n">
        <v>89</v>
      </c>
      <c r="AC271" t="n">
        <v>89</v>
      </c>
      <c r="AD271" t="n">
        <v>1</v>
      </c>
      <c r="AE271" t="n">
        <v>1</v>
      </c>
      <c r="AF271" t="n">
        <v>6</v>
      </c>
      <c r="AG271" t="n">
        <v>6</v>
      </c>
      <c r="AH271" t="n">
        <v>1</v>
      </c>
      <c r="AI271" t="n">
        <v>1</v>
      </c>
      <c r="AJ271" t="n">
        <v>4</v>
      </c>
      <c r="AK271" t="n">
        <v>4</v>
      </c>
      <c r="AL271" t="n">
        <v>3</v>
      </c>
      <c r="AM271" t="n">
        <v>3</v>
      </c>
      <c r="AN271" t="n">
        <v>0</v>
      </c>
      <c r="AO271" t="n">
        <v>0</v>
      </c>
      <c r="AP271" t="n">
        <v>0</v>
      </c>
      <c r="AQ271" t="n">
        <v>0</v>
      </c>
      <c r="AR271" t="inlineStr">
        <is>
          <t>No</t>
        </is>
      </c>
      <c r="AS271" t="inlineStr">
        <is>
          <t>No</t>
        </is>
      </c>
      <c r="AU271">
        <f>HYPERLINK("https://creighton-primo.hosted.exlibrisgroup.com/primo-explore/search?tab=default_tab&amp;search_scope=EVERYTHING&amp;vid=01CRU&amp;lang=en_US&amp;offset=0&amp;query=any,contains,991002945939702656","Catalog Record")</f>
        <v/>
      </c>
      <c r="AV271">
        <f>HYPERLINK("http://www.worldcat.org/oclc/536766","WorldCat Record")</f>
        <v/>
      </c>
      <c r="AW271" t="inlineStr">
        <is>
          <t>1559446:fre</t>
        </is>
      </c>
      <c r="AX271" t="inlineStr">
        <is>
          <t>536766</t>
        </is>
      </c>
      <c r="AY271" t="inlineStr">
        <is>
          <t>991002945939702656</t>
        </is>
      </c>
      <c r="AZ271" t="inlineStr">
        <is>
          <t>991002945939702656</t>
        </is>
      </c>
      <c r="BA271" t="inlineStr">
        <is>
          <t>2260779390002656</t>
        </is>
      </c>
      <c r="BB271" t="inlineStr">
        <is>
          <t>BOOK</t>
        </is>
      </c>
      <c r="BE271" t="inlineStr">
        <is>
          <t>32285002796794</t>
        </is>
      </c>
      <c r="BF271" t="inlineStr">
        <is>
          <t>893498755</t>
        </is>
      </c>
    </row>
    <row r="272">
      <c r="A272" t="inlineStr">
        <is>
          <t>No</t>
        </is>
      </c>
      <c r="B272" t="inlineStr">
        <is>
          <t>CURAL</t>
        </is>
      </c>
      <c r="C272" t="inlineStr">
        <is>
          <t>SHELVES</t>
        </is>
      </c>
      <c r="D272" t="inlineStr">
        <is>
          <t>PQ2645.I5 A24 1994</t>
        </is>
      </c>
      <c r="E272" t="inlineStr">
        <is>
          <t>0                      PQ 2645000I  5                  A  24          1994</t>
        </is>
      </c>
      <c r="F272" t="inlineStr">
        <is>
          <t>Paul Willems' the drowned land ; and, La vita breve / translated by Donald Flanell Friedman and Suzanne Burgoyne.</t>
        </is>
      </c>
      <c r="H272" t="inlineStr">
        <is>
          <t>No</t>
        </is>
      </c>
      <c r="I272" t="inlineStr">
        <is>
          <t>1</t>
        </is>
      </c>
      <c r="J272" t="inlineStr">
        <is>
          <t>No</t>
        </is>
      </c>
      <c r="K272" t="inlineStr">
        <is>
          <t>No</t>
        </is>
      </c>
      <c r="L272" t="inlineStr">
        <is>
          <t>0</t>
        </is>
      </c>
      <c r="M272" t="inlineStr">
        <is>
          <t>Willems, Paul.</t>
        </is>
      </c>
      <c r="N272" t="inlineStr">
        <is>
          <t>New York : Peter Lang, c1994.</t>
        </is>
      </c>
      <c r="O272" t="inlineStr">
        <is>
          <t>1994</t>
        </is>
      </c>
      <c r="Q272" t="inlineStr">
        <is>
          <t>eng</t>
        </is>
      </c>
      <c r="R272" t="inlineStr">
        <is>
          <t>nyu</t>
        </is>
      </c>
      <c r="S272" t="inlineStr">
        <is>
          <t>Belgian francophone library ; vol. 1</t>
        </is>
      </c>
      <c r="T272" t="inlineStr">
        <is>
          <t xml:space="preserve">PQ </t>
        </is>
      </c>
      <c r="U272" t="n">
        <v>1</v>
      </c>
      <c r="V272" t="n">
        <v>1</v>
      </c>
      <c r="W272" t="inlineStr">
        <is>
          <t>1997-03-01</t>
        </is>
      </c>
      <c r="X272" t="inlineStr">
        <is>
          <t>1997-03-01</t>
        </is>
      </c>
      <c r="Y272" t="inlineStr">
        <is>
          <t>1996-02-13</t>
        </is>
      </c>
      <c r="Z272" t="inlineStr">
        <is>
          <t>1996-02-13</t>
        </is>
      </c>
      <c r="AA272" t="n">
        <v>63</v>
      </c>
      <c r="AB272" t="n">
        <v>60</v>
      </c>
      <c r="AC272" t="n">
        <v>60</v>
      </c>
      <c r="AD272" t="n">
        <v>1</v>
      </c>
      <c r="AE272" t="n">
        <v>1</v>
      </c>
      <c r="AF272" t="n">
        <v>5</v>
      </c>
      <c r="AG272" t="n">
        <v>5</v>
      </c>
      <c r="AH272" t="n">
        <v>1</v>
      </c>
      <c r="AI272" t="n">
        <v>1</v>
      </c>
      <c r="AJ272" t="n">
        <v>4</v>
      </c>
      <c r="AK272" t="n">
        <v>4</v>
      </c>
      <c r="AL272" t="n">
        <v>2</v>
      </c>
      <c r="AM272" t="n">
        <v>2</v>
      </c>
      <c r="AN272" t="n">
        <v>0</v>
      </c>
      <c r="AO272" t="n">
        <v>0</v>
      </c>
      <c r="AP272" t="n">
        <v>0</v>
      </c>
      <c r="AQ272" t="n">
        <v>0</v>
      </c>
      <c r="AR272" t="inlineStr">
        <is>
          <t>No</t>
        </is>
      </c>
      <c r="AS272" t="inlineStr">
        <is>
          <t>No</t>
        </is>
      </c>
      <c r="AU272">
        <f>HYPERLINK("https://creighton-primo.hosted.exlibrisgroup.com/primo-explore/search?tab=default_tab&amp;search_scope=EVERYTHING&amp;vid=01CRU&amp;lang=en_US&amp;offset=0&amp;query=any,contains,991002267839702656","Catalog Record")</f>
        <v/>
      </c>
      <c r="AV272">
        <f>HYPERLINK("http://www.worldcat.org/oclc/29428495","WorldCat Record")</f>
        <v/>
      </c>
      <c r="AW272" t="inlineStr">
        <is>
          <t>31558813:eng</t>
        </is>
      </c>
      <c r="AX272" t="inlineStr">
        <is>
          <t>29428495</t>
        </is>
      </c>
      <c r="AY272" t="inlineStr">
        <is>
          <t>991002267839702656</t>
        </is>
      </c>
      <c r="AZ272" t="inlineStr">
        <is>
          <t>991002267839702656</t>
        </is>
      </c>
      <c r="BA272" t="inlineStr">
        <is>
          <t>2269877120002656</t>
        </is>
      </c>
      <c r="BB272" t="inlineStr">
        <is>
          <t>BOOK</t>
        </is>
      </c>
      <c r="BD272" t="inlineStr">
        <is>
          <t>9780820424194</t>
        </is>
      </c>
      <c r="BE272" t="inlineStr">
        <is>
          <t>32285002129558</t>
        </is>
      </c>
      <c r="BF272" t="inlineStr">
        <is>
          <t>893867000</t>
        </is>
      </c>
    </row>
    <row r="273">
      <c r="A273" t="inlineStr">
        <is>
          <t>No</t>
        </is>
      </c>
      <c r="B273" t="inlineStr">
        <is>
          <t>CURAL</t>
        </is>
      </c>
      <c r="C273" t="inlineStr">
        <is>
          <t>SHELVES</t>
        </is>
      </c>
      <c r="D273" t="inlineStr">
        <is>
          <t>PQ265 .B357 1994</t>
        </is>
      </c>
      <c r="E273" t="inlineStr">
        <is>
          <t>0                      PQ 0265000B  357         1994</t>
        </is>
      </c>
      <c r="F273" t="inlineStr">
        <is>
          <t>Lumières et modernité : de Malebranche a Baudelaire / Annie Becq</t>
        </is>
      </c>
      <c r="H273" t="inlineStr">
        <is>
          <t>No</t>
        </is>
      </c>
      <c r="I273" t="inlineStr">
        <is>
          <t>1</t>
        </is>
      </c>
      <c r="J273" t="inlineStr">
        <is>
          <t>No</t>
        </is>
      </c>
      <c r="K273" t="inlineStr">
        <is>
          <t>No</t>
        </is>
      </c>
      <c r="L273" t="inlineStr">
        <is>
          <t>0</t>
        </is>
      </c>
      <c r="M273" t="inlineStr">
        <is>
          <t>Becq, Annie.</t>
        </is>
      </c>
      <c r="N273" t="inlineStr">
        <is>
          <t>Orleans ; Caen : Paradigme, 1994.</t>
        </is>
      </c>
      <c r="O273" t="inlineStr">
        <is>
          <t>1994</t>
        </is>
      </c>
      <c r="Q273" t="inlineStr">
        <is>
          <t>fre</t>
        </is>
      </c>
      <c r="R273" t="inlineStr">
        <is>
          <t xml:space="preserve">fr </t>
        </is>
      </c>
      <c r="S273" t="inlineStr">
        <is>
          <t>Collection Varia</t>
        </is>
      </c>
      <c r="T273" t="inlineStr">
        <is>
          <t xml:space="preserve">PQ </t>
        </is>
      </c>
      <c r="U273" t="n">
        <v>1</v>
      </c>
      <c r="V273" t="n">
        <v>1</v>
      </c>
      <c r="W273" t="inlineStr">
        <is>
          <t>2003-10-17</t>
        </is>
      </c>
      <c r="X273" t="inlineStr">
        <is>
          <t>2003-10-17</t>
        </is>
      </c>
      <c r="Y273" t="inlineStr">
        <is>
          <t>1996-06-24</t>
        </is>
      </c>
      <c r="Z273" t="inlineStr">
        <is>
          <t>1996-06-24</t>
        </is>
      </c>
      <c r="AA273" t="n">
        <v>116</v>
      </c>
      <c r="AB273" t="n">
        <v>71</v>
      </c>
      <c r="AC273" t="n">
        <v>73</v>
      </c>
      <c r="AD273" t="n">
        <v>2</v>
      </c>
      <c r="AE273" t="n">
        <v>2</v>
      </c>
      <c r="AF273" t="n">
        <v>3</v>
      </c>
      <c r="AG273" t="n">
        <v>3</v>
      </c>
      <c r="AH273" t="n">
        <v>1</v>
      </c>
      <c r="AI273" t="n">
        <v>1</v>
      </c>
      <c r="AJ273" t="n">
        <v>1</v>
      </c>
      <c r="AK273" t="n">
        <v>1</v>
      </c>
      <c r="AL273" t="n">
        <v>2</v>
      </c>
      <c r="AM273" t="n">
        <v>2</v>
      </c>
      <c r="AN273" t="n">
        <v>1</v>
      </c>
      <c r="AO273" t="n">
        <v>1</v>
      </c>
      <c r="AP273" t="n">
        <v>0</v>
      </c>
      <c r="AQ273" t="n">
        <v>0</v>
      </c>
      <c r="AR273" t="inlineStr">
        <is>
          <t>No</t>
        </is>
      </c>
      <c r="AS273" t="inlineStr">
        <is>
          <t>Yes</t>
        </is>
      </c>
      <c r="AT273">
        <f>HYPERLINK("http://catalog.hathitrust.org/Record/002960247","HathiTrust Record")</f>
        <v/>
      </c>
      <c r="AU273">
        <f>HYPERLINK("https://creighton-primo.hosted.exlibrisgroup.com/primo-explore/search?tab=default_tab&amp;search_scope=EVERYTHING&amp;vid=01CRU&amp;lang=en_US&amp;offset=0&amp;query=any,contains,991002344859702656","Catalog Record")</f>
        <v/>
      </c>
      <c r="AV273">
        <f>HYPERLINK("http://www.worldcat.org/oclc/30523322","WorldCat Record")</f>
        <v/>
      </c>
      <c r="AW273" t="inlineStr">
        <is>
          <t>32433982:fre</t>
        </is>
      </c>
      <c r="AX273" t="inlineStr">
        <is>
          <t>30523322</t>
        </is>
      </c>
      <c r="AY273" t="inlineStr">
        <is>
          <t>991002344859702656</t>
        </is>
      </c>
      <c r="AZ273" t="inlineStr">
        <is>
          <t>991002344859702656</t>
        </is>
      </c>
      <c r="BA273" t="inlineStr">
        <is>
          <t>2256626900002656</t>
        </is>
      </c>
      <c r="BB273" t="inlineStr">
        <is>
          <t>BOOK</t>
        </is>
      </c>
      <c r="BD273" t="inlineStr">
        <is>
          <t>9782868781024</t>
        </is>
      </c>
      <c r="BE273" t="inlineStr">
        <is>
          <t>32285002172145</t>
        </is>
      </c>
      <c r="BF273" t="inlineStr">
        <is>
          <t>893779700</t>
        </is>
      </c>
    </row>
    <row r="274">
      <c r="A274" t="inlineStr">
        <is>
          <t>No</t>
        </is>
      </c>
      <c r="B274" t="inlineStr">
        <is>
          <t>CURAL</t>
        </is>
      </c>
      <c r="C274" t="inlineStr">
        <is>
          <t>SHELVES</t>
        </is>
      </c>
      <c r="D274" t="inlineStr">
        <is>
          <t>PQ2661.J3 V5</t>
        </is>
      </c>
      <c r="E274" t="inlineStr">
        <is>
          <t>0                      PQ 2661000J  3                  V  5</t>
        </is>
      </c>
      <c r="F274" t="inlineStr">
        <is>
          <t>La vie devant soi : roman / Émile Ajar.</t>
        </is>
      </c>
      <c r="H274" t="inlineStr">
        <is>
          <t>No</t>
        </is>
      </c>
      <c r="I274" t="inlineStr">
        <is>
          <t>1</t>
        </is>
      </c>
      <c r="J274" t="inlineStr">
        <is>
          <t>No</t>
        </is>
      </c>
      <c r="K274" t="inlineStr">
        <is>
          <t>No</t>
        </is>
      </c>
      <c r="L274" t="inlineStr">
        <is>
          <t>0</t>
        </is>
      </c>
      <c r="M274" t="inlineStr">
        <is>
          <t>Gary, Romain.</t>
        </is>
      </c>
      <c r="N274" t="inlineStr">
        <is>
          <t>[Paris] : Mercure de France, 1975.</t>
        </is>
      </c>
      <c r="O274" t="inlineStr">
        <is>
          <t>1975</t>
        </is>
      </c>
      <c r="Q274" t="inlineStr">
        <is>
          <t>fre</t>
        </is>
      </c>
      <c r="R274" t="inlineStr">
        <is>
          <t xml:space="preserve">fr </t>
        </is>
      </c>
      <c r="T274" t="inlineStr">
        <is>
          <t xml:space="preserve">PQ </t>
        </is>
      </c>
      <c r="U274" t="n">
        <v>1</v>
      </c>
      <c r="V274" t="n">
        <v>1</v>
      </c>
      <c r="W274" t="inlineStr">
        <is>
          <t>2003-08-02</t>
        </is>
      </c>
      <c r="X274" t="inlineStr">
        <is>
          <t>2003-08-02</t>
        </is>
      </c>
      <c r="Y274" t="inlineStr">
        <is>
          <t>1991-05-15</t>
        </is>
      </c>
      <c r="Z274" t="inlineStr">
        <is>
          <t>1991-05-15</t>
        </is>
      </c>
      <c r="AA274" t="n">
        <v>250</v>
      </c>
      <c r="AB274" t="n">
        <v>166</v>
      </c>
      <c r="AC274" t="n">
        <v>319</v>
      </c>
      <c r="AD274" t="n">
        <v>2</v>
      </c>
      <c r="AE274" t="n">
        <v>2</v>
      </c>
      <c r="AF274" t="n">
        <v>5</v>
      </c>
      <c r="AG274" t="n">
        <v>9</v>
      </c>
      <c r="AH274" t="n">
        <v>0</v>
      </c>
      <c r="AI274" t="n">
        <v>2</v>
      </c>
      <c r="AJ274" t="n">
        <v>2</v>
      </c>
      <c r="AK274" t="n">
        <v>3</v>
      </c>
      <c r="AL274" t="n">
        <v>3</v>
      </c>
      <c r="AM274" t="n">
        <v>5</v>
      </c>
      <c r="AN274" t="n">
        <v>1</v>
      </c>
      <c r="AO274" t="n">
        <v>1</v>
      </c>
      <c r="AP274" t="n">
        <v>0</v>
      </c>
      <c r="AQ274" t="n">
        <v>0</v>
      </c>
      <c r="AR274" t="inlineStr">
        <is>
          <t>No</t>
        </is>
      </c>
      <c r="AS274" t="inlineStr">
        <is>
          <t>Yes</t>
        </is>
      </c>
      <c r="AT274">
        <f>HYPERLINK("http://catalog.hathitrust.org/Record/000702894","HathiTrust Record")</f>
        <v/>
      </c>
      <c r="AU274">
        <f>HYPERLINK("https://creighton-primo.hosted.exlibrisgroup.com/primo-explore/search?tab=default_tab&amp;search_scope=EVERYTHING&amp;vid=01CRU&amp;lang=en_US&amp;offset=0&amp;query=any,contains,991003969799702656","Catalog Record")</f>
        <v/>
      </c>
      <c r="AV274">
        <f>HYPERLINK("http://www.worldcat.org/oclc/1991588","WorldCat Record")</f>
        <v/>
      </c>
      <c r="AW274" t="inlineStr">
        <is>
          <t>1082282400:fre</t>
        </is>
      </c>
      <c r="AX274" t="inlineStr">
        <is>
          <t>1991588</t>
        </is>
      </c>
      <c r="AY274" t="inlineStr">
        <is>
          <t>991003969799702656</t>
        </is>
      </c>
      <c r="AZ274" t="inlineStr">
        <is>
          <t>991003969799702656</t>
        </is>
      </c>
      <c r="BA274" t="inlineStr">
        <is>
          <t>2263905800002656</t>
        </is>
      </c>
      <c r="BB274" t="inlineStr">
        <is>
          <t>BOOK</t>
        </is>
      </c>
      <c r="BE274" t="inlineStr">
        <is>
          <t>32285000595768</t>
        </is>
      </c>
      <c r="BF274" t="inlineStr">
        <is>
          <t>893810289</t>
        </is>
      </c>
    </row>
    <row r="275">
      <c r="A275" t="inlineStr">
        <is>
          <t>No</t>
        </is>
      </c>
      <c r="B275" t="inlineStr">
        <is>
          <t>CURAL</t>
        </is>
      </c>
      <c r="C275" t="inlineStr">
        <is>
          <t>SHELVES</t>
        </is>
      </c>
      <c r="D275" t="inlineStr">
        <is>
          <t>PQ2662.O54 E8</t>
        </is>
      </c>
      <c r="E275" t="inlineStr">
        <is>
          <t>0                      PQ 2662000O  54                 E  8</t>
        </is>
      </c>
      <c r="F275" t="inlineStr">
        <is>
          <t>L'esprit de famille : roman / Janine Boissard.</t>
        </is>
      </c>
      <c r="H275" t="inlineStr">
        <is>
          <t>No</t>
        </is>
      </c>
      <c r="I275" t="inlineStr">
        <is>
          <t>1</t>
        </is>
      </c>
      <c r="J275" t="inlineStr">
        <is>
          <t>No</t>
        </is>
      </c>
      <c r="K275" t="inlineStr">
        <is>
          <t>No</t>
        </is>
      </c>
      <c r="L275" t="inlineStr">
        <is>
          <t>0</t>
        </is>
      </c>
      <c r="M275" t="inlineStr">
        <is>
          <t>Boissard, Janine.</t>
        </is>
      </c>
      <c r="N275" t="inlineStr">
        <is>
          <t>[Paris] : Fayard, c1977.</t>
        </is>
      </c>
      <c r="O275" t="inlineStr">
        <is>
          <t>1977</t>
        </is>
      </c>
      <c r="Q275" t="inlineStr">
        <is>
          <t>fre</t>
        </is>
      </c>
      <c r="R275" t="inlineStr">
        <is>
          <t xml:space="preserve">fr </t>
        </is>
      </c>
      <c r="T275" t="inlineStr">
        <is>
          <t xml:space="preserve">PQ </t>
        </is>
      </c>
      <c r="U275" t="n">
        <v>1</v>
      </c>
      <c r="V275" t="n">
        <v>1</v>
      </c>
      <c r="W275" t="inlineStr">
        <is>
          <t>2003-07-26</t>
        </is>
      </c>
      <c r="X275" t="inlineStr">
        <is>
          <t>2003-07-26</t>
        </is>
      </c>
      <c r="Y275" t="inlineStr">
        <is>
          <t>1991-05-15</t>
        </is>
      </c>
      <c r="Z275" t="inlineStr">
        <is>
          <t>1991-05-15</t>
        </is>
      </c>
      <c r="AA275" t="n">
        <v>52</v>
      </c>
      <c r="AB275" t="n">
        <v>44</v>
      </c>
      <c r="AC275" t="n">
        <v>81</v>
      </c>
      <c r="AD275" t="n">
        <v>1</v>
      </c>
      <c r="AE275" t="n">
        <v>1</v>
      </c>
      <c r="AF275" t="n">
        <v>1</v>
      </c>
      <c r="AG275" t="n">
        <v>2</v>
      </c>
      <c r="AH275" t="n">
        <v>0</v>
      </c>
      <c r="AI275" t="n">
        <v>0</v>
      </c>
      <c r="AJ275" t="n">
        <v>1</v>
      </c>
      <c r="AK275" t="n">
        <v>1</v>
      </c>
      <c r="AL275" t="n">
        <v>1</v>
      </c>
      <c r="AM275" t="n">
        <v>2</v>
      </c>
      <c r="AN275" t="n">
        <v>0</v>
      </c>
      <c r="AO275" t="n">
        <v>0</v>
      </c>
      <c r="AP275" t="n">
        <v>0</v>
      </c>
      <c r="AQ275" t="n">
        <v>0</v>
      </c>
      <c r="AR275" t="inlineStr">
        <is>
          <t>No</t>
        </is>
      </c>
      <c r="AS275" t="inlineStr">
        <is>
          <t>No</t>
        </is>
      </c>
      <c r="AU275">
        <f>HYPERLINK("https://creighton-primo.hosted.exlibrisgroup.com/primo-explore/search?tab=default_tab&amp;search_scope=EVERYTHING&amp;vid=01CRU&amp;lang=en_US&amp;offset=0&amp;query=any,contains,991004510299702656","Catalog Record")</f>
        <v/>
      </c>
      <c r="AV275">
        <f>HYPERLINK("http://www.worldcat.org/oclc/3759111","WorldCat Record")</f>
        <v/>
      </c>
      <c r="AW275" t="inlineStr">
        <is>
          <t>447161:fre</t>
        </is>
      </c>
      <c r="AX275" t="inlineStr">
        <is>
          <t>3759111</t>
        </is>
      </c>
      <c r="AY275" t="inlineStr">
        <is>
          <t>991004510299702656</t>
        </is>
      </c>
      <c r="AZ275" t="inlineStr">
        <is>
          <t>991004510299702656</t>
        </is>
      </c>
      <c r="BA275" t="inlineStr">
        <is>
          <t>2272677340002656</t>
        </is>
      </c>
      <c r="BB275" t="inlineStr">
        <is>
          <t>BOOK</t>
        </is>
      </c>
      <c r="BD275" t="inlineStr">
        <is>
          <t>9782213005003</t>
        </is>
      </c>
      <c r="BE275" t="inlineStr">
        <is>
          <t>32285000595040</t>
        </is>
      </c>
      <c r="BF275" t="inlineStr">
        <is>
          <t>893506941</t>
        </is>
      </c>
    </row>
    <row r="276">
      <c r="A276" t="inlineStr">
        <is>
          <t>No</t>
        </is>
      </c>
      <c r="B276" t="inlineStr">
        <is>
          <t>CURAL</t>
        </is>
      </c>
      <c r="C276" t="inlineStr">
        <is>
          <t>SHELVES</t>
        </is>
      </c>
      <c r="D276" t="inlineStr">
        <is>
          <t>PQ2662.U7 G74</t>
        </is>
      </c>
      <c r="E276" t="inlineStr">
        <is>
          <t>0                      PQ 2662000U  7                  G  74</t>
        </is>
      </c>
      <c r="F276" t="inlineStr">
        <is>
          <t>Grand-mère / Frantz-André Burguet.</t>
        </is>
      </c>
      <c r="H276" t="inlineStr">
        <is>
          <t>No</t>
        </is>
      </c>
      <c r="I276" t="inlineStr">
        <is>
          <t>1</t>
        </is>
      </c>
      <c r="J276" t="inlineStr">
        <is>
          <t>No</t>
        </is>
      </c>
      <c r="K276" t="inlineStr">
        <is>
          <t>No</t>
        </is>
      </c>
      <c r="L276" t="inlineStr">
        <is>
          <t>0</t>
        </is>
      </c>
      <c r="M276" t="inlineStr">
        <is>
          <t>Burguet, Frantz-André, 1938-2011.</t>
        </is>
      </c>
      <c r="N276" t="inlineStr">
        <is>
          <t>Paris : B.-Grasset, c1975.</t>
        </is>
      </c>
      <c r="O276" t="inlineStr">
        <is>
          <t>1975</t>
        </is>
      </c>
      <c r="Q276" t="inlineStr">
        <is>
          <t>fre</t>
        </is>
      </c>
      <c r="R276" t="inlineStr">
        <is>
          <t xml:space="preserve">fr </t>
        </is>
      </c>
      <c r="T276" t="inlineStr">
        <is>
          <t xml:space="preserve">PQ </t>
        </is>
      </c>
      <c r="U276" t="n">
        <v>1</v>
      </c>
      <c r="V276" t="n">
        <v>1</v>
      </c>
      <c r="W276" t="inlineStr">
        <is>
          <t>2003-09-06</t>
        </is>
      </c>
      <c r="X276" t="inlineStr">
        <is>
          <t>2003-09-06</t>
        </is>
      </c>
      <c r="Y276" t="inlineStr">
        <is>
          <t>1997-06-16</t>
        </is>
      </c>
      <c r="Z276" t="inlineStr">
        <is>
          <t>1997-06-16</t>
        </is>
      </c>
      <c r="AA276" t="n">
        <v>45</v>
      </c>
      <c r="AB276" t="n">
        <v>31</v>
      </c>
      <c r="AC276" t="n">
        <v>45</v>
      </c>
      <c r="AD276" t="n">
        <v>1</v>
      </c>
      <c r="AE276" t="n">
        <v>1</v>
      </c>
      <c r="AF276" t="n">
        <v>0</v>
      </c>
      <c r="AG276" t="n">
        <v>0</v>
      </c>
      <c r="AH276" t="n">
        <v>0</v>
      </c>
      <c r="AI276" t="n">
        <v>0</v>
      </c>
      <c r="AJ276" t="n">
        <v>0</v>
      </c>
      <c r="AK276" t="n">
        <v>0</v>
      </c>
      <c r="AL276" t="n">
        <v>0</v>
      </c>
      <c r="AM276" t="n">
        <v>0</v>
      </c>
      <c r="AN276" t="n">
        <v>0</v>
      </c>
      <c r="AO276" t="n">
        <v>0</v>
      </c>
      <c r="AP276" t="n">
        <v>0</v>
      </c>
      <c r="AQ276" t="n">
        <v>0</v>
      </c>
      <c r="AR276" t="inlineStr">
        <is>
          <t>No</t>
        </is>
      </c>
      <c r="AS276" t="inlineStr">
        <is>
          <t>No</t>
        </is>
      </c>
      <c r="AU276">
        <f>HYPERLINK("https://creighton-primo.hosted.exlibrisgroup.com/primo-explore/search?tab=default_tab&amp;search_scope=EVERYTHING&amp;vid=01CRU&amp;lang=en_US&amp;offset=0&amp;query=any,contains,991003934119702656","Catalog Record")</f>
        <v/>
      </c>
      <c r="AV276">
        <f>HYPERLINK("http://www.worldcat.org/oclc/1907634","WorldCat Record")</f>
        <v/>
      </c>
      <c r="AW276" t="inlineStr">
        <is>
          <t>2621085:fre</t>
        </is>
      </c>
      <c r="AX276" t="inlineStr">
        <is>
          <t>1907634</t>
        </is>
      </c>
      <c r="AY276" t="inlineStr">
        <is>
          <t>991003934119702656</t>
        </is>
      </c>
      <c r="AZ276" t="inlineStr">
        <is>
          <t>991003934119702656</t>
        </is>
      </c>
      <c r="BA276" t="inlineStr">
        <is>
          <t>2267079630002656</t>
        </is>
      </c>
      <c r="BB276" t="inlineStr">
        <is>
          <t>BOOK</t>
        </is>
      </c>
      <c r="BD276" t="inlineStr">
        <is>
          <t>9782246002413</t>
        </is>
      </c>
      <c r="BE276" t="inlineStr">
        <is>
          <t>32285002797099</t>
        </is>
      </c>
      <c r="BF276" t="inlineStr">
        <is>
          <t>893349404</t>
        </is>
      </c>
    </row>
    <row r="277">
      <c r="A277" t="inlineStr">
        <is>
          <t>No</t>
        </is>
      </c>
      <c r="B277" t="inlineStr">
        <is>
          <t>CURAL</t>
        </is>
      </c>
      <c r="C277" t="inlineStr">
        <is>
          <t>SHELVES</t>
        </is>
      </c>
      <c r="D277" t="inlineStr">
        <is>
          <t>PQ2664.O6828 L5</t>
        </is>
      </c>
      <c r="E277" t="inlineStr">
        <is>
          <t>0                      PQ 2664000O  6828               L  5</t>
        </is>
      </c>
      <c r="F277" t="inlineStr">
        <is>
          <t>Les lits a ̀une place / Franc̜oise Dorin.</t>
        </is>
      </c>
      <c r="H277" t="inlineStr">
        <is>
          <t>No</t>
        </is>
      </c>
      <c r="I277" t="inlineStr">
        <is>
          <t>1</t>
        </is>
      </c>
      <c r="J277" t="inlineStr">
        <is>
          <t>No</t>
        </is>
      </c>
      <c r="K277" t="inlineStr">
        <is>
          <t>No</t>
        </is>
      </c>
      <c r="L277" t="inlineStr">
        <is>
          <t>0</t>
        </is>
      </c>
      <c r="M277" t="inlineStr">
        <is>
          <t>Dorin, Françoise.</t>
        </is>
      </c>
      <c r="N277" t="inlineStr">
        <is>
          <t>Paris : Flammarion, 1980.</t>
        </is>
      </c>
      <c r="O277" t="inlineStr">
        <is>
          <t>1980</t>
        </is>
      </c>
      <c r="Q277" t="inlineStr">
        <is>
          <t>fre</t>
        </is>
      </c>
      <c r="R277" t="inlineStr">
        <is>
          <t xml:space="preserve">fr </t>
        </is>
      </c>
      <c r="T277" t="inlineStr">
        <is>
          <t xml:space="preserve">PQ </t>
        </is>
      </c>
      <c r="U277" t="n">
        <v>1</v>
      </c>
      <c r="V277" t="n">
        <v>1</v>
      </c>
      <c r="W277" t="inlineStr">
        <is>
          <t>2003-09-06</t>
        </is>
      </c>
      <c r="X277" t="inlineStr">
        <is>
          <t>2003-09-06</t>
        </is>
      </c>
      <c r="Y277" t="inlineStr">
        <is>
          <t>1991-05-15</t>
        </is>
      </c>
      <c r="Z277" t="inlineStr">
        <is>
          <t>1991-05-15</t>
        </is>
      </c>
      <c r="AA277" t="n">
        <v>68</v>
      </c>
      <c r="AB277" t="n">
        <v>45</v>
      </c>
      <c r="AC277" t="n">
        <v>65</v>
      </c>
      <c r="AD277" t="n">
        <v>1</v>
      </c>
      <c r="AE277" t="n">
        <v>1</v>
      </c>
      <c r="AF277" t="n">
        <v>0</v>
      </c>
      <c r="AG277" t="n">
        <v>0</v>
      </c>
      <c r="AH277" t="n">
        <v>0</v>
      </c>
      <c r="AI277" t="n">
        <v>0</v>
      </c>
      <c r="AJ277" t="n">
        <v>0</v>
      </c>
      <c r="AK277" t="n">
        <v>0</v>
      </c>
      <c r="AL277" t="n">
        <v>0</v>
      </c>
      <c r="AM277" t="n">
        <v>0</v>
      </c>
      <c r="AN277" t="n">
        <v>0</v>
      </c>
      <c r="AO277" t="n">
        <v>0</v>
      </c>
      <c r="AP277" t="n">
        <v>0</v>
      </c>
      <c r="AQ277" t="n">
        <v>0</v>
      </c>
      <c r="AR277" t="inlineStr">
        <is>
          <t>No</t>
        </is>
      </c>
      <c r="AS277" t="inlineStr">
        <is>
          <t>Yes</t>
        </is>
      </c>
      <c r="AT277">
        <f>HYPERLINK("http://catalog.hathitrust.org/Record/000737021","HathiTrust Record")</f>
        <v/>
      </c>
      <c r="AU277">
        <f>HYPERLINK("https://creighton-primo.hosted.exlibrisgroup.com/primo-explore/search?tab=default_tab&amp;search_scope=EVERYTHING&amp;vid=01CRU&amp;lang=en_US&amp;offset=0&amp;query=any,contains,991005018569702656","Catalog Record")</f>
        <v/>
      </c>
      <c r="AV277">
        <f>HYPERLINK("http://www.worldcat.org/oclc/6637602","WorldCat Record")</f>
        <v/>
      </c>
      <c r="AW277" t="inlineStr">
        <is>
          <t>43474145:fre</t>
        </is>
      </c>
      <c r="AX277" t="inlineStr">
        <is>
          <t>6637602</t>
        </is>
      </c>
      <c r="AY277" t="inlineStr">
        <is>
          <t>991005018569702656</t>
        </is>
      </c>
      <c r="AZ277" t="inlineStr">
        <is>
          <t>991005018569702656</t>
        </is>
      </c>
      <c r="BA277" t="inlineStr">
        <is>
          <t>2266111880002656</t>
        </is>
      </c>
      <c r="BB277" t="inlineStr">
        <is>
          <t>BOOK</t>
        </is>
      </c>
      <c r="BD277" t="inlineStr">
        <is>
          <t>9782080642721</t>
        </is>
      </c>
      <c r="BE277" t="inlineStr">
        <is>
          <t>32285000595933</t>
        </is>
      </c>
      <c r="BF277" t="inlineStr">
        <is>
          <t>893260443</t>
        </is>
      </c>
    </row>
    <row r="278">
      <c r="A278" t="inlineStr">
        <is>
          <t>No</t>
        </is>
      </c>
      <c r="B278" t="inlineStr">
        <is>
          <t>CURAL</t>
        </is>
      </c>
      <c r="C278" t="inlineStr">
        <is>
          <t>SHELVES</t>
        </is>
      </c>
      <c r="D278" t="inlineStr">
        <is>
          <t>PQ2667.U4636 D4</t>
        </is>
      </c>
      <c r="E278" t="inlineStr">
        <is>
          <t>0                      PQ 2667000U  4636               D  4</t>
        </is>
      </c>
      <c r="F278" t="inlineStr">
        <is>
          <t>Démone en Lituanie : roman. --</t>
        </is>
      </c>
      <c r="H278" t="inlineStr">
        <is>
          <t>No</t>
        </is>
      </c>
      <c r="I278" t="inlineStr">
        <is>
          <t>1</t>
        </is>
      </c>
      <c r="J278" t="inlineStr">
        <is>
          <t>No</t>
        </is>
      </c>
      <c r="K278" t="inlineStr">
        <is>
          <t>No</t>
        </is>
      </c>
      <c r="L278" t="inlineStr">
        <is>
          <t>0</t>
        </is>
      </c>
      <c r="M278" t="inlineStr">
        <is>
          <t>Guigonnat, Henri.</t>
        </is>
      </c>
      <c r="N278" t="inlineStr">
        <is>
          <t>Paris : Flammarion, [1973]</t>
        </is>
      </c>
      <c r="O278" t="inlineStr">
        <is>
          <t>1973</t>
        </is>
      </c>
      <c r="Q278" t="inlineStr">
        <is>
          <t>fre</t>
        </is>
      </c>
      <c r="R278" t="inlineStr">
        <is>
          <t xml:space="preserve">fr </t>
        </is>
      </c>
      <c r="T278" t="inlineStr">
        <is>
          <t xml:space="preserve">PQ </t>
        </is>
      </c>
      <c r="U278" t="n">
        <v>1</v>
      </c>
      <c r="V278" t="n">
        <v>1</v>
      </c>
      <c r="W278" t="inlineStr">
        <is>
          <t>2005-04-18</t>
        </is>
      </c>
      <c r="X278" t="inlineStr">
        <is>
          <t>2005-04-18</t>
        </is>
      </c>
      <c r="Y278" t="inlineStr">
        <is>
          <t>1991-05-15</t>
        </is>
      </c>
      <c r="Z278" t="inlineStr">
        <is>
          <t>1991-05-15</t>
        </is>
      </c>
      <c r="AA278" t="n">
        <v>38</v>
      </c>
      <c r="AB278" t="n">
        <v>27</v>
      </c>
      <c r="AC278" t="n">
        <v>29</v>
      </c>
      <c r="AD278" t="n">
        <v>1</v>
      </c>
      <c r="AE278" t="n">
        <v>1</v>
      </c>
      <c r="AF278" t="n">
        <v>2</v>
      </c>
      <c r="AG278" t="n">
        <v>2</v>
      </c>
      <c r="AH278" t="n">
        <v>1</v>
      </c>
      <c r="AI278" t="n">
        <v>1</v>
      </c>
      <c r="AJ278" t="n">
        <v>0</v>
      </c>
      <c r="AK278" t="n">
        <v>0</v>
      </c>
      <c r="AL278" t="n">
        <v>2</v>
      </c>
      <c r="AM278" t="n">
        <v>2</v>
      </c>
      <c r="AN278" t="n">
        <v>0</v>
      </c>
      <c r="AO278" t="n">
        <v>0</v>
      </c>
      <c r="AP278" t="n">
        <v>0</v>
      </c>
      <c r="AQ278" t="n">
        <v>0</v>
      </c>
      <c r="AR278" t="inlineStr">
        <is>
          <t>No</t>
        </is>
      </c>
      <c r="AS278" t="inlineStr">
        <is>
          <t>Yes</t>
        </is>
      </c>
      <c r="AT278">
        <f>HYPERLINK("http://catalog.hathitrust.org/Record/007530350","HathiTrust Record")</f>
        <v/>
      </c>
      <c r="AU278">
        <f>HYPERLINK("https://creighton-primo.hosted.exlibrisgroup.com/primo-explore/search?tab=default_tab&amp;search_scope=EVERYTHING&amp;vid=01CRU&amp;lang=en_US&amp;offset=0&amp;query=any,contains,991004074979702656","Catalog Record")</f>
        <v/>
      </c>
      <c r="AV278">
        <f>HYPERLINK("http://www.worldcat.org/oclc/2317314","WorldCat Record")</f>
        <v/>
      </c>
      <c r="AW278" t="inlineStr">
        <is>
          <t>3937663:fre</t>
        </is>
      </c>
      <c r="AX278" t="inlineStr">
        <is>
          <t>2317314</t>
        </is>
      </c>
      <c r="AY278" t="inlineStr">
        <is>
          <t>991004074979702656</t>
        </is>
      </c>
      <c r="AZ278" t="inlineStr">
        <is>
          <t>991004074979702656</t>
        </is>
      </c>
      <c r="BA278" t="inlineStr">
        <is>
          <t>2261894230002656</t>
        </is>
      </c>
      <c r="BB278" t="inlineStr">
        <is>
          <t>BOOK</t>
        </is>
      </c>
      <c r="BE278" t="inlineStr">
        <is>
          <t>32285000596048</t>
        </is>
      </c>
      <c r="BF278" t="inlineStr">
        <is>
          <t>893525628</t>
        </is>
      </c>
    </row>
    <row r="279">
      <c r="A279" t="inlineStr">
        <is>
          <t>No</t>
        </is>
      </c>
      <c r="B279" t="inlineStr">
        <is>
          <t>CURAL</t>
        </is>
      </c>
      <c r="C279" t="inlineStr">
        <is>
          <t>SHELVES</t>
        </is>
      </c>
      <c r="D279" t="inlineStr">
        <is>
          <t>PQ2679.E679 A2 1982</t>
        </is>
      </c>
      <c r="E279" t="inlineStr">
        <is>
          <t>0                      PQ 2679000E  679                A  2           1982</t>
        </is>
      </c>
      <c r="F279" t="inlineStr">
        <is>
          <t>Hermes--literature, science, philosophy / by Michel Serres ; edited by Josué V. Harari and David F. Bell.</t>
        </is>
      </c>
      <c r="H279" t="inlineStr">
        <is>
          <t>No</t>
        </is>
      </c>
      <c r="I279" t="inlineStr">
        <is>
          <t>1</t>
        </is>
      </c>
      <c r="J279" t="inlineStr">
        <is>
          <t>No</t>
        </is>
      </c>
      <c r="K279" t="inlineStr">
        <is>
          <t>No</t>
        </is>
      </c>
      <c r="L279" t="inlineStr">
        <is>
          <t>0</t>
        </is>
      </c>
      <c r="M279" t="inlineStr">
        <is>
          <t>Serres, Michel.</t>
        </is>
      </c>
      <c r="N279" t="inlineStr">
        <is>
          <t>Baltimore : Johns Hopkins University Press, c1982.</t>
        </is>
      </c>
      <c r="O279" t="inlineStr">
        <is>
          <t>1981</t>
        </is>
      </c>
      <c r="Q279" t="inlineStr">
        <is>
          <t>eng</t>
        </is>
      </c>
      <c r="R279" t="inlineStr">
        <is>
          <t>mdu</t>
        </is>
      </c>
      <c r="T279" t="inlineStr">
        <is>
          <t xml:space="preserve">PQ </t>
        </is>
      </c>
      <c r="U279" t="n">
        <v>6</v>
      </c>
      <c r="V279" t="n">
        <v>6</v>
      </c>
      <c r="W279" t="inlineStr">
        <is>
          <t>1997-04-30</t>
        </is>
      </c>
      <c r="X279" t="inlineStr">
        <is>
          <t>1997-04-30</t>
        </is>
      </c>
      <c r="Y279" t="inlineStr">
        <is>
          <t>1991-10-28</t>
        </is>
      </c>
      <c r="Z279" t="inlineStr">
        <is>
          <t>1991-10-28</t>
        </is>
      </c>
      <c r="AA279" t="n">
        <v>621</v>
      </c>
      <c r="AB279" t="n">
        <v>514</v>
      </c>
      <c r="AC279" t="n">
        <v>539</v>
      </c>
      <c r="AD279" t="n">
        <v>5</v>
      </c>
      <c r="AE279" t="n">
        <v>5</v>
      </c>
      <c r="AF279" t="n">
        <v>32</v>
      </c>
      <c r="AG279" t="n">
        <v>33</v>
      </c>
      <c r="AH279" t="n">
        <v>11</v>
      </c>
      <c r="AI279" t="n">
        <v>12</v>
      </c>
      <c r="AJ279" t="n">
        <v>9</v>
      </c>
      <c r="AK279" t="n">
        <v>9</v>
      </c>
      <c r="AL279" t="n">
        <v>18</v>
      </c>
      <c r="AM279" t="n">
        <v>19</v>
      </c>
      <c r="AN279" t="n">
        <v>4</v>
      </c>
      <c r="AO279" t="n">
        <v>4</v>
      </c>
      <c r="AP279" t="n">
        <v>0</v>
      </c>
      <c r="AQ279" t="n">
        <v>0</v>
      </c>
      <c r="AR279" t="inlineStr">
        <is>
          <t>No</t>
        </is>
      </c>
      <c r="AS279" t="inlineStr">
        <is>
          <t>Yes</t>
        </is>
      </c>
      <c r="AT279">
        <f>HYPERLINK("http://catalog.hathitrust.org/Record/000304076","HathiTrust Record")</f>
        <v/>
      </c>
      <c r="AU279">
        <f>HYPERLINK("https://creighton-primo.hosted.exlibrisgroup.com/primo-explore/search?tab=default_tab&amp;search_scope=EVERYTHING&amp;vid=01CRU&amp;lang=en_US&amp;offset=0&amp;query=any,contains,991005154219702656","Catalog Record")</f>
        <v/>
      </c>
      <c r="AV279">
        <f>HYPERLINK("http://www.worldcat.org/oclc/7737735","WorldCat Record")</f>
        <v/>
      </c>
      <c r="AW279" t="inlineStr">
        <is>
          <t>3943550734:eng</t>
        </is>
      </c>
      <c r="AX279" t="inlineStr">
        <is>
          <t>7737735</t>
        </is>
      </c>
      <c r="AY279" t="inlineStr">
        <is>
          <t>991005154219702656</t>
        </is>
      </c>
      <c r="AZ279" t="inlineStr">
        <is>
          <t>991005154219702656</t>
        </is>
      </c>
      <c r="BA279" t="inlineStr">
        <is>
          <t>2259785520002656</t>
        </is>
      </c>
      <c r="BB279" t="inlineStr">
        <is>
          <t>BOOK</t>
        </is>
      </c>
      <c r="BD279" t="inlineStr">
        <is>
          <t>9780801824548</t>
        </is>
      </c>
      <c r="BE279" t="inlineStr">
        <is>
          <t>32285000802487</t>
        </is>
      </c>
      <c r="BF279" t="inlineStr">
        <is>
          <t>893694831</t>
        </is>
      </c>
    </row>
    <row r="280">
      <c r="A280" t="inlineStr">
        <is>
          <t>No</t>
        </is>
      </c>
      <c r="B280" t="inlineStr">
        <is>
          <t>CURAL</t>
        </is>
      </c>
      <c r="C280" t="inlineStr">
        <is>
          <t>SHELVES</t>
        </is>
      </c>
      <c r="D280" t="inlineStr">
        <is>
          <t>PQ2679.I53 M6</t>
        </is>
      </c>
      <c r="E280" t="inlineStr">
        <is>
          <t>0                      PQ 2679000I  53                 M  6</t>
        </is>
      </c>
      <c r="F280" t="inlineStr">
        <is>
          <t>La mort viennoise : roman / Christiane Singer.</t>
        </is>
      </c>
      <c r="H280" t="inlineStr">
        <is>
          <t>No</t>
        </is>
      </c>
      <c r="I280" t="inlineStr">
        <is>
          <t>1</t>
        </is>
      </c>
      <c r="J280" t="inlineStr">
        <is>
          <t>No</t>
        </is>
      </c>
      <c r="K280" t="inlineStr">
        <is>
          <t>No</t>
        </is>
      </c>
      <c r="L280" t="inlineStr">
        <is>
          <t>0</t>
        </is>
      </c>
      <c r="M280" t="inlineStr">
        <is>
          <t>Singer, Christiane, 1943-</t>
        </is>
      </c>
      <c r="N280" t="inlineStr">
        <is>
          <t>Paris : Albin Michel, 1978.</t>
        </is>
      </c>
      <c r="O280" t="inlineStr">
        <is>
          <t>1978</t>
        </is>
      </c>
      <c r="Q280" t="inlineStr">
        <is>
          <t>fre</t>
        </is>
      </c>
      <c r="R280" t="inlineStr">
        <is>
          <t xml:space="preserve">fr </t>
        </is>
      </c>
      <c r="T280" t="inlineStr">
        <is>
          <t xml:space="preserve">PQ </t>
        </is>
      </c>
      <c r="U280" t="n">
        <v>1</v>
      </c>
      <c r="V280" t="n">
        <v>1</v>
      </c>
      <c r="W280" t="inlineStr">
        <is>
          <t>1997-07-25</t>
        </is>
      </c>
      <c r="X280" t="inlineStr">
        <is>
          <t>1997-07-25</t>
        </is>
      </c>
      <c r="Y280" t="inlineStr">
        <is>
          <t>1991-05-17</t>
        </is>
      </c>
      <c r="Z280" t="inlineStr">
        <is>
          <t>1991-05-17</t>
        </is>
      </c>
      <c r="AA280" t="n">
        <v>72</v>
      </c>
      <c r="AB280" t="n">
        <v>46</v>
      </c>
      <c r="AC280" t="n">
        <v>48</v>
      </c>
      <c r="AD280" t="n">
        <v>2</v>
      </c>
      <c r="AE280" t="n">
        <v>2</v>
      </c>
      <c r="AF280" t="n">
        <v>1</v>
      </c>
      <c r="AG280" t="n">
        <v>1</v>
      </c>
      <c r="AH280" t="n">
        <v>0</v>
      </c>
      <c r="AI280" t="n">
        <v>0</v>
      </c>
      <c r="AJ280" t="n">
        <v>0</v>
      </c>
      <c r="AK280" t="n">
        <v>0</v>
      </c>
      <c r="AL280" t="n">
        <v>0</v>
      </c>
      <c r="AM280" t="n">
        <v>0</v>
      </c>
      <c r="AN280" t="n">
        <v>1</v>
      </c>
      <c r="AO280" t="n">
        <v>1</v>
      </c>
      <c r="AP280" t="n">
        <v>0</v>
      </c>
      <c r="AQ280" t="n">
        <v>0</v>
      </c>
      <c r="AR280" t="inlineStr">
        <is>
          <t>No</t>
        </is>
      </c>
      <c r="AS280" t="inlineStr">
        <is>
          <t>Yes</t>
        </is>
      </c>
      <c r="AT280">
        <f>HYPERLINK("http://catalog.hathitrust.org/Record/000301321","HathiTrust Record")</f>
        <v/>
      </c>
      <c r="AU280">
        <f>HYPERLINK("https://creighton-primo.hosted.exlibrisgroup.com/primo-explore/search?tab=default_tab&amp;search_scope=EVERYTHING&amp;vid=01CRU&amp;lang=en_US&amp;offset=0&amp;query=any,contains,991004755819702656","Catalog Record")</f>
        <v/>
      </c>
      <c r="AV280">
        <f>HYPERLINK("http://www.worldcat.org/oclc/5171975","WorldCat Record")</f>
        <v/>
      </c>
      <c r="AW280" t="inlineStr">
        <is>
          <t>365339345:fre</t>
        </is>
      </c>
      <c r="AX280" t="inlineStr">
        <is>
          <t>5171975</t>
        </is>
      </c>
      <c r="AY280" t="inlineStr">
        <is>
          <t>991004755819702656</t>
        </is>
      </c>
      <c r="AZ280" t="inlineStr">
        <is>
          <t>991004755819702656</t>
        </is>
      </c>
      <c r="BA280" t="inlineStr">
        <is>
          <t>2254935800002656</t>
        </is>
      </c>
      <c r="BB280" t="inlineStr">
        <is>
          <t>BOOK</t>
        </is>
      </c>
      <c r="BD280" t="inlineStr">
        <is>
          <t>9782226006769</t>
        </is>
      </c>
      <c r="BE280" t="inlineStr">
        <is>
          <t>32285000596782</t>
        </is>
      </c>
      <c r="BF280" t="inlineStr">
        <is>
          <t>893694284</t>
        </is>
      </c>
    </row>
    <row r="281">
      <c r="A281" t="inlineStr">
        <is>
          <t>No</t>
        </is>
      </c>
      <c r="B281" t="inlineStr">
        <is>
          <t>CURAL</t>
        </is>
      </c>
      <c r="C281" t="inlineStr">
        <is>
          <t>SHELVES</t>
        </is>
      </c>
      <c r="D281" t="inlineStr">
        <is>
          <t>PQ2680.R776 A73 1976</t>
        </is>
      </c>
      <c r="E281" t="inlineStr">
        <is>
          <t>0                      PQ 2680000R  776                A  73          1976</t>
        </is>
      </c>
      <c r="F281" t="inlineStr">
        <is>
          <t>Small change : a film novel / François Truffaut ; translated by Anselm Hollo.</t>
        </is>
      </c>
      <c r="H281" t="inlineStr">
        <is>
          <t>No</t>
        </is>
      </c>
      <c r="I281" t="inlineStr">
        <is>
          <t>1</t>
        </is>
      </c>
      <c r="J281" t="inlineStr">
        <is>
          <t>No</t>
        </is>
      </c>
      <c r="K281" t="inlineStr">
        <is>
          <t>No</t>
        </is>
      </c>
      <c r="L281" t="inlineStr">
        <is>
          <t>0</t>
        </is>
      </c>
      <c r="M281" t="inlineStr">
        <is>
          <t>Truffaut, François.</t>
        </is>
      </c>
      <c r="N281" t="inlineStr">
        <is>
          <t>New York : Grove Press : distributed by Random House, 1976.</t>
        </is>
      </c>
      <c r="O281" t="inlineStr">
        <is>
          <t>1976</t>
        </is>
      </c>
      <c r="P281" t="inlineStr">
        <is>
          <t>1st Black cat ed.</t>
        </is>
      </c>
      <c r="Q281" t="inlineStr">
        <is>
          <t>eng</t>
        </is>
      </c>
      <c r="R281" t="inlineStr">
        <is>
          <t>nyu</t>
        </is>
      </c>
      <c r="S281" t="inlineStr">
        <is>
          <t>A Black cat book ; B-399</t>
        </is>
      </c>
      <c r="T281" t="inlineStr">
        <is>
          <t xml:space="preserve">PQ </t>
        </is>
      </c>
      <c r="U281" t="n">
        <v>1</v>
      </c>
      <c r="V281" t="n">
        <v>1</v>
      </c>
      <c r="W281" t="inlineStr">
        <is>
          <t>2003-09-10</t>
        </is>
      </c>
      <c r="X281" t="inlineStr">
        <is>
          <t>2003-09-10</t>
        </is>
      </c>
      <c r="Y281" t="inlineStr">
        <is>
          <t>2003-09-10</t>
        </is>
      </c>
      <c r="Z281" t="inlineStr">
        <is>
          <t>2003-09-10</t>
        </is>
      </c>
      <c r="AA281" t="n">
        <v>261</v>
      </c>
      <c r="AB281" t="n">
        <v>226</v>
      </c>
      <c r="AC281" t="n">
        <v>228</v>
      </c>
      <c r="AD281" t="n">
        <v>4</v>
      </c>
      <c r="AE281" t="n">
        <v>4</v>
      </c>
      <c r="AF281" t="n">
        <v>9</v>
      </c>
      <c r="AG281" t="n">
        <v>9</v>
      </c>
      <c r="AH281" t="n">
        <v>2</v>
      </c>
      <c r="AI281" t="n">
        <v>2</v>
      </c>
      <c r="AJ281" t="n">
        <v>1</v>
      </c>
      <c r="AK281" t="n">
        <v>1</v>
      </c>
      <c r="AL281" t="n">
        <v>6</v>
      </c>
      <c r="AM281" t="n">
        <v>6</v>
      </c>
      <c r="AN281" t="n">
        <v>3</v>
      </c>
      <c r="AO281" t="n">
        <v>3</v>
      </c>
      <c r="AP281" t="n">
        <v>0</v>
      </c>
      <c r="AQ281" t="n">
        <v>0</v>
      </c>
      <c r="AR281" t="inlineStr">
        <is>
          <t>No</t>
        </is>
      </c>
      <c r="AS281" t="inlineStr">
        <is>
          <t>Yes</t>
        </is>
      </c>
      <c r="AT281">
        <f>HYPERLINK("http://catalog.hathitrust.org/Record/000730520","HathiTrust Record")</f>
        <v/>
      </c>
      <c r="AU281">
        <f>HYPERLINK("https://creighton-primo.hosted.exlibrisgroup.com/primo-explore/search?tab=default_tab&amp;search_scope=EVERYTHING&amp;vid=01CRU&amp;lang=en_US&amp;offset=0&amp;query=any,contains,991004120019702656","Catalog Record")</f>
        <v/>
      </c>
      <c r="AV281">
        <f>HYPERLINK("http://www.worldcat.org/oclc/2882926","WorldCat Record")</f>
        <v/>
      </c>
      <c r="AW281" t="inlineStr">
        <is>
          <t>3901434589:eng</t>
        </is>
      </c>
      <c r="AX281" t="inlineStr">
        <is>
          <t>2882926</t>
        </is>
      </c>
      <c r="AY281" t="inlineStr">
        <is>
          <t>991004120019702656</t>
        </is>
      </c>
      <c r="AZ281" t="inlineStr">
        <is>
          <t>991004120019702656</t>
        </is>
      </c>
      <c r="BA281" t="inlineStr">
        <is>
          <t>2257053890002656</t>
        </is>
      </c>
      <c r="BB281" t="inlineStr">
        <is>
          <t>BOOK</t>
        </is>
      </c>
      <c r="BD281" t="inlineStr">
        <is>
          <t>9780394179216</t>
        </is>
      </c>
      <c r="BE281" t="inlineStr">
        <is>
          <t>32285004781968</t>
        </is>
      </c>
      <c r="BF281" t="inlineStr">
        <is>
          <t>893241039</t>
        </is>
      </c>
    </row>
    <row r="282">
      <c r="A282" t="inlineStr">
        <is>
          <t>No</t>
        </is>
      </c>
      <c r="B282" t="inlineStr">
        <is>
          <t>CURAL</t>
        </is>
      </c>
      <c r="C282" t="inlineStr">
        <is>
          <t>SHELVES</t>
        </is>
      </c>
      <c r="D282" t="inlineStr">
        <is>
          <t>PQ2683.I32 Z459 1974</t>
        </is>
      </c>
      <c r="E282" t="inlineStr">
        <is>
          <t>0                      PQ 2683000I  32                 Z  459         1974</t>
        </is>
      </c>
      <c r="F282" t="inlineStr">
        <is>
          <t>Elie Wiesel : a bibliography.</t>
        </is>
      </c>
      <c r="H282" t="inlineStr">
        <is>
          <t>No</t>
        </is>
      </c>
      <c r="I282" t="inlineStr">
        <is>
          <t>1</t>
        </is>
      </c>
      <c r="J282" t="inlineStr">
        <is>
          <t>No</t>
        </is>
      </c>
      <c r="K282" t="inlineStr">
        <is>
          <t>No</t>
        </is>
      </c>
      <c r="L282" t="inlineStr">
        <is>
          <t>0</t>
        </is>
      </c>
      <c r="M282" t="inlineStr">
        <is>
          <t>Abramowitz, Molly, 1936-</t>
        </is>
      </c>
      <c r="N282" t="inlineStr">
        <is>
          <t>Metuchen, N.J. : Scarecrow Press, 1974.</t>
        </is>
      </c>
      <c r="O282" t="inlineStr">
        <is>
          <t>1974</t>
        </is>
      </c>
      <c r="Q282" t="inlineStr">
        <is>
          <t>eng</t>
        </is>
      </c>
      <c r="R282" t="inlineStr">
        <is>
          <t>nju</t>
        </is>
      </c>
      <c r="S282" t="inlineStr">
        <is>
          <t>The Scarecrow author bibliographies, no. 22</t>
        </is>
      </c>
      <c r="T282" t="inlineStr">
        <is>
          <t xml:space="preserve">PQ </t>
        </is>
      </c>
      <c r="U282" t="n">
        <v>10</v>
      </c>
      <c r="V282" t="n">
        <v>10</v>
      </c>
      <c r="W282" t="inlineStr">
        <is>
          <t>2000-09-10</t>
        </is>
      </c>
      <c r="X282" t="inlineStr">
        <is>
          <t>2000-09-10</t>
        </is>
      </c>
      <c r="Y282" t="inlineStr">
        <is>
          <t>1992-10-16</t>
        </is>
      </c>
      <c r="Z282" t="inlineStr">
        <is>
          <t>1992-10-16</t>
        </is>
      </c>
      <c r="AA282" t="n">
        <v>340</v>
      </c>
      <c r="AB282" t="n">
        <v>283</v>
      </c>
      <c r="AC282" t="n">
        <v>290</v>
      </c>
      <c r="AD282" t="n">
        <v>2</v>
      </c>
      <c r="AE282" t="n">
        <v>2</v>
      </c>
      <c r="AF282" t="n">
        <v>8</v>
      </c>
      <c r="AG282" t="n">
        <v>8</v>
      </c>
      <c r="AH282" t="n">
        <v>0</v>
      </c>
      <c r="AI282" t="n">
        <v>0</v>
      </c>
      <c r="AJ282" t="n">
        <v>4</v>
      </c>
      <c r="AK282" t="n">
        <v>4</v>
      </c>
      <c r="AL282" t="n">
        <v>5</v>
      </c>
      <c r="AM282" t="n">
        <v>5</v>
      </c>
      <c r="AN282" t="n">
        <v>1</v>
      </c>
      <c r="AO282" t="n">
        <v>1</v>
      </c>
      <c r="AP282" t="n">
        <v>0</v>
      </c>
      <c r="AQ282" t="n">
        <v>0</v>
      </c>
      <c r="AR282" t="inlineStr">
        <is>
          <t>No</t>
        </is>
      </c>
      <c r="AS282" t="inlineStr">
        <is>
          <t>Yes</t>
        </is>
      </c>
      <c r="AT282">
        <f>HYPERLINK("http://catalog.hathitrust.org/Record/001180627","HathiTrust Record")</f>
        <v/>
      </c>
      <c r="AU282">
        <f>HYPERLINK("https://creighton-primo.hosted.exlibrisgroup.com/primo-explore/search?tab=default_tab&amp;search_scope=EVERYTHING&amp;vid=01CRU&amp;lang=en_US&amp;offset=0&amp;query=any,contains,991003483999702656","Catalog Record")</f>
        <v/>
      </c>
      <c r="AV282">
        <f>HYPERLINK("http://www.worldcat.org/oclc/1031311","WorldCat Record")</f>
        <v/>
      </c>
      <c r="AW282" t="inlineStr">
        <is>
          <t>468854:eng</t>
        </is>
      </c>
      <c r="AX282" t="inlineStr">
        <is>
          <t>1031311</t>
        </is>
      </c>
      <c r="AY282" t="inlineStr">
        <is>
          <t>991003483999702656</t>
        </is>
      </c>
      <c r="AZ282" t="inlineStr">
        <is>
          <t>991003483999702656</t>
        </is>
      </c>
      <c r="BA282" t="inlineStr">
        <is>
          <t>2265447450002656</t>
        </is>
      </c>
      <c r="BB282" t="inlineStr">
        <is>
          <t>BOOK</t>
        </is>
      </c>
      <c r="BD282" t="inlineStr">
        <is>
          <t>9780810807310</t>
        </is>
      </c>
      <c r="BE282" t="inlineStr">
        <is>
          <t>32285001350445</t>
        </is>
      </c>
      <c r="BF282" t="inlineStr">
        <is>
          <t>893705265</t>
        </is>
      </c>
    </row>
    <row r="283">
      <c r="A283" t="inlineStr">
        <is>
          <t>No</t>
        </is>
      </c>
      <c r="B283" t="inlineStr">
        <is>
          <t>CURAL</t>
        </is>
      </c>
      <c r="C283" t="inlineStr">
        <is>
          <t>SHELVES</t>
        </is>
      </c>
      <c r="D283" t="inlineStr">
        <is>
          <t>PQ281 .G55</t>
        </is>
      </c>
      <c r="E283" t="inlineStr">
        <is>
          <t>0                      PQ 0281000G  55</t>
        </is>
      </c>
      <c r="F283" t="inlineStr">
        <is>
          <t>Le Roman en France pendant le IXXe [i.e. dixneuvième] siècle / par Eugène Gilbert.</t>
        </is>
      </c>
      <c r="H283" t="inlineStr">
        <is>
          <t>No</t>
        </is>
      </c>
      <c r="I283" t="inlineStr">
        <is>
          <t>1</t>
        </is>
      </c>
      <c r="J283" t="inlineStr">
        <is>
          <t>No</t>
        </is>
      </c>
      <c r="K283" t="inlineStr">
        <is>
          <t>No</t>
        </is>
      </c>
      <c r="L283" t="inlineStr">
        <is>
          <t>0</t>
        </is>
      </c>
      <c r="M283" t="inlineStr">
        <is>
          <t>Gilbert, Eugène.</t>
        </is>
      </c>
      <c r="N283" t="inlineStr">
        <is>
          <t>Paris : E. Plon, 1896.</t>
        </is>
      </c>
      <c r="O283" t="inlineStr">
        <is>
          <t>1896</t>
        </is>
      </c>
      <c r="Q283" t="inlineStr">
        <is>
          <t>fre</t>
        </is>
      </c>
      <c r="R283" t="inlineStr">
        <is>
          <t xml:space="preserve">fr </t>
        </is>
      </c>
      <c r="T283" t="inlineStr">
        <is>
          <t xml:space="preserve">PQ </t>
        </is>
      </c>
      <c r="U283" t="n">
        <v>2</v>
      </c>
      <c r="V283" t="n">
        <v>2</v>
      </c>
      <c r="W283" t="inlineStr">
        <is>
          <t>1992-12-11</t>
        </is>
      </c>
      <c r="X283" t="inlineStr">
        <is>
          <t>1992-12-11</t>
        </is>
      </c>
      <c r="Y283" t="inlineStr">
        <is>
          <t>1992-08-03</t>
        </is>
      </c>
      <c r="Z283" t="inlineStr">
        <is>
          <t>1992-08-03</t>
        </is>
      </c>
      <c r="AA283" t="n">
        <v>22</v>
      </c>
      <c r="AB283" t="n">
        <v>15</v>
      </c>
      <c r="AC283" t="n">
        <v>65</v>
      </c>
      <c r="AD283" t="n">
        <v>1</v>
      </c>
      <c r="AE283" t="n">
        <v>3</v>
      </c>
      <c r="AF283" t="n">
        <v>1</v>
      </c>
      <c r="AG283" t="n">
        <v>5</v>
      </c>
      <c r="AH283" t="n">
        <v>0</v>
      </c>
      <c r="AI283" t="n">
        <v>2</v>
      </c>
      <c r="AJ283" t="n">
        <v>0</v>
      </c>
      <c r="AK283" t="n">
        <v>1</v>
      </c>
      <c r="AL283" t="n">
        <v>1</v>
      </c>
      <c r="AM283" t="n">
        <v>2</v>
      </c>
      <c r="AN283" t="n">
        <v>0</v>
      </c>
      <c r="AO283" t="n">
        <v>2</v>
      </c>
      <c r="AP283" t="n">
        <v>0</v>
      </c>
      <c r="AQ283" t="n">
        <v>0</v>
      </c>
      <c r="AR283" t="inlineStr">
        <is>
          <t>No</t>
        </is>
      </c>
      <c r="AS283" t="inlineStr">
        <is>
          <t>No</t>
        </is>
      </c>
      <c r="AU283">
        <f>HYPERLINK("https://creighton-primo.hosted.exlibrisgroup.com/primo-explore/search?tab=default_tab&amp;search_scope=EVERYTHING&amp;vid=01CRU&amp;lang=en_US&amp;offset=0&amp;query=any,contains,991004796139702656","Catalog Record")</f>
        <v/>
      </c>
      <c r="AV283">
        <f>HYPERLINK("http://www.worldcat.org/oclc/5187405","WorldCat Record")</f>
        <v/>
      </c>
      <c r="AW283" t="inlineStr">
        <is>
          <t>348664893:fre</t>
        </is>
      </c>
      <c r="AX283" t="inlineStr">
        <is>
          <t>5187405</t>
        </is>
      </c>
      <c r="AY283" t="inlineStr">
        <is>
          <t>991004796139702656</t>
        </is>
      </c>
      <c r="AZ283" t="inlineStr">
        <is>
          <t>991004796139702656</t>
        </is>
      </c>
      <c r="BA283" t="inlineStr">
        <is>
          <t>2259268110002656</t>
        </is>
      </c>
      <c r="BB283" t="inlineStr">
        <is>
          <t>BOOK</t>
        </is>
      </c>
      <c r="BE283" t="inlineStr">
        <is>
          <t>32285001250918</t>
        </is>
      </c>
      <c r="BF283" t="inlineStr">
        <is>
          <t>893350389</t>
        </is>
      </c>
    </row>
    <row r="284">
      <c r="A284" t="inlineStr">
        <is>
          <t>No</t>
        </is>
      </c>
      <c r="B284" t="inlineStr">
        <is>
          <t>CURAL</t>
        </is>
      </c>
      <c r="C284" t="inlineStr">
        <is>
          <t>SHELVES</t>
        </is>
      </c>
      <c r="D284" t="inlineStr">
        <is>
          <t>PQ281 .P72 1990</t>
        </is>
      </c>
      <c r="E284" t="inlineStr">
        <is>
          <t>0                      PQ 0281000P  72          1990</t>
        </is>
      </c>
      <c r="F284" t="inlineStr">
        <is>
          <t>Précis de littérature française du XIXe siècle / sous la direction de Madeleine Ambrière.</t>
        </is>
      </c>
      <c r="H284" t="inlineStr">
        <is>
          <t>No</t>
        </is>
      </c>
      <c r="I284" t="inlineStr">
        <is>
          <t>1</t>
        </is>
      </c>
      <c r="J284" t="inlineStr">
        <is>
          <t>No</t>
        </is>
      </c>
      <c r="K284" t="inlineStr">
        <is>
          <t>No</t>
        </is>
      </c>
      <c r="L284" t="inlineStr">
        <is>
          <t>0</t>
        </is>
      </c>
      <c r="N284" t="inlineStr">
        <is>
          <t>Paris : Presses universitaires de France, c1990.</t>
        </is>
      </c>
      <c r="O284" t="inlineStr">
        <is>
          <t>1990</t>
        </is>
      </c>
      <c r="P284" t="inlineStr">
        <is>
          <t>1re éd.</t>
        </is>
      </c>
      <c r="Q284" t="inlineStr">
        <is>
          <t>fre</t>
        </is>
      </c>
      <c r="R284" t="inlineStr">
        <is>
          <t xml:space="preserve">fr </t>
        </is>
      </c>
      <c r="T284" t="inlineStr">
        <is>
          <t xml:space="preserve">PQ </t>
        </is>
      </c>
      <c r="U284" t="n">
        <v>4</v>
      </c>
      <c r="V284" t="n">
        <v>4</v>
      </c>
      <c r="W284" t="inlineStr">
        <is>
          <t>2003-10-17</t>
        </is>
      </c>
      <c r="X284" t="inlineStr">
        <is>
          <t>2003-10-17</t>
        </is>
      </c>
      <c r="Y284" t="inlineStr">
        <is>
          <t>1995-05-31</t>
        </is>
      </c>
      <c r="Z284" t="inlineStr">
        <is>
          <t>1995-05-31</t>
        </is>
      </c>
      <c r="AA284" t="n">
        <v>196</v>
      </c>
      <c r="AB284" t="n">
        <v>103</v>
      </c>
      <c r="AC284" t="n">
        <v>106</v>
      </c>
      <c r="AD284" t="n">
        <v>3</v>
      </c>
      <c r="AE284" t="n">
        <v>3</v>
      </c>
      <c r="AF284" t="n">
        <v>7</v>
      </c>
      <c r="AG284" t="n">
        <v>7</v>
      </c>
      <c r="AH284" t="n">
        <v>3</v>
      </c>
      <c r="AI284" t="n">
        <v>3</v>
      </c>
      <c r="AJ284" t="n">
        <v>1</v>
      </c>
      <c r="AK284" t="n">
        <v>1</v>
      </c>
      <c r="AL284" t="n">
        <v>4</v>
      </c>
      <c r="AM284" t="n">
        <v>4</v>
      </c>
      <c r="AN284" t="n">
        <v>2</v>
      </c>
      <c r="AO284" t="n">
        <v>2</v>
      </c>
      <c r="AP284" t="n">
        <v>0</v>
      </c>
      <c r="AQ284" t="n">
        <v>0</v>
      </c>
      <c r="AR284" t="inlineStr">
        <is>
          <t>No</t>
        </is>
      </c>
      <c r="AS284" t="inlineStr">
        <is>
          <t>Yes</t>
        </is>
      </c>
      <c r="AT284">
        <f>HYPERLINK("http://catalog.hathitrust.org/Record/002063028","HathiTrust Record")</f>
        <v/>
      </c>
      <c r="AU284">
        <f>HYPERLINK("https://creighton-primo.hosted.exlibrisgroup.com/primo-explore/search?tab=default_tab&amp;search_scope=EVERYTHING&amp;vid=01CRU&amp;lang=en_US&amp;offset=0&amp;query=any,contains,991001694159702656","Catalog Record")</f>
        <v/>
      </c>
      <c r="AV284">
        <f>HYPERLINK("http://www.worldcat.org/oclc/21469293","WorldCat Record")</f>
        <v/>
      </c>
      <c r="AW284" t="inlineStr">
        <is>
          <t>23126818:fre</t>
        </is>
      </c>
      <c r="AX284" t="inlineStr">
        <is>
          <t>21469293</t>
        </is>
      </c>
      <c r="AY284" t="inlineStr">
        <is>
          <t>991001694159702656</t>
        </is>
      </c>
      <c r="AZ284" t="inlineStr">
        <is>
          <t>991001694159702656</t>
        </is>
      </c>
      <c r="BA284" t="inlineStr">
        <is>
          <t>2255090800002656</t>
        </is>
      </c>
      <c r="BB284" t="inlineStr">
        <is>
          <t>BOOK</t>
        </is>
      </c>
      <c r="BD284" t="inlineStr">
        <is>
          <t>9782130427490</t>
        </is>
      </c>
      <c r="BE284" t="inlineStr">
        <is>
          <t>32285002048196</t>
        </is>
      </c>
      <c r="BF284" t="inlineStr">
        <is>
          <t>893872727</t>
        </is>
      </c>
    </row>
    <row r="285">
      <c r="A285" t="inlineStr">
        <is>
          <t>No</t>
        </is>
      </c>
      <c r="B285" t="inlineStr">
        <is>
          <t>CURAL</t>
        </is>
      </c>
      <c r="C285" t="inlineStr">
        <is>
          <t>SHELVES</t>
        </is>
      </c>
      <c r="D285" t="inlineStr">
        <is>
          <t>PQ282 .L26 1988</t>
        </is>
      </c>
      <c r="E285" t="inlineStr">
        <is>
          <t>0                      PQ 0282000L  26          1988</t>
        </is>
      </c>
      <c r="F285" t="inlineStr">
        <is>
          <t>Irony/humor : critical paradigms / Candace D. Lang.</t>
        </is>
      </c>
      <c r="H285" t="inlineStr">
        <is>
          <t>No</t>
        </is>
      </c>
      <c r="I285" t="inlineStr">
        <is>
          <t>1</t>
        </is>
      </c>
      <c r="J285" t="inlineStr">
        <is>
          <t>No</t>
        </is>
      </c>
      <c r="K285" t="inlineStr">
        <is>
          <t>No</t>
        </is>
      </c>
      <c r="L285" t="inlineStr">
        <is>
          <t>0</t>
        </is>
      </c>
      <c r="M285" t="inlineStr">
        <is>
          <t>Lang, Candace D., 1950-</t>
        </is>
      </c>
      <c r="N285" t="inlineStr">
        <is>
          <t>Baltimore : Johns Hopkins University Press, c1988.</t>
        </is>
      </c>
      <c r="O285" t="inlineStr">
        <is>
          <t>1988</t>
        </is>
      </c>
      <c r="Q285" t="inlineStr">
        <is>
          <t>eng</t>
        </is>
      </c>
      <c r="R285" t="inlineStr">
        <is>
          <t>mdu</t>
        </is>
      </c>
      <c r="T285" t="inlineStr">
        <is>
          <t xml:space="preserve">PQ </t>
        </is>
      </c>
      <c r="U285" t="n">
        <v>1</v>
      </c>
      <c r="V285" t="n">
        <v>1</v>
      </c>
      <c r="W285" t="inlineStr">
        <is>
          <t>2000-08-30</t>
        </is>
      </c>
      <c r="X285" t="inlineStr">
        <is>
          <t>2000-08-30</t>
        </is>
      </c>
      <c r="Y285" t="inlineStr">
        <is>
          <t>1992-08-03</t>
        </is>
      </c>
      <c r="Z285" t="inlineStr">
        <is>
          <t>1992-08-03</t>
        </is>
      </c>
      <c r="AA285" t="n">
        <v>458</v>
      </c>
      <c r="AB285" t="n">
        <v>382</v>
      </c>
      <c r="AC285" t="n">
        <v>389</v>
      </c>
      <c r="AD285" t="n">
        <v>4</v>
      </c>
      <c r="AE285" t="n">
        <v>4</v>
      </c>
      <c r="AF285" t="n">
        <v>17</v>
      </c>
      <c r="AG285" t="n">
        <v>17</v>
      </c>
      <c r="AH285" t="n">
        <v>4</v>
      </c>
      <c r="AI285" t="n">
        <v>4</v>
      </c>
      <c r="AJ285" t="n">
        <v>5</v>
      </c>
      <c r="AK285" t="n">
        <v>5</v>
      </c>
      <c r="AL285" t="n">
        <v>9</v>
      </c>
      <c r="AM285" t="n">
        <v>9</v>
      </c>
      <c r="AN285" t="n">
        <v>3</v>
      </c>
      <c r="AO285" t="n">
        <v>3</v>
      </c>
      <c r="AP285" t="n">
        <v>0</v>
      </c>
      <c r="AQ285" t="n">
        <v>0</v>
      </c>
      <c r="AR285" t="inlineStr">
        <is>
          <t>No</t>
        </is>
      </c>
      <c r="AS285" t="inlineStr">
        <is>
          <t>Yes</t>
        </is>
      </c>
      <c r="AT285">
        <f>HYPERLINK("http://catalog.hathitrust.org/Record/000843256","HathiTrust Record")</f>
        <v/>
      </c>
      <c r="AU285">
        <f>HYPERLINK("https://creighton-primo.hosted.exlibrisgroup.com/primo-explore/search?tab=default_tab&amp;search_scope=EVERYTHING&amp;vid=01CRU&amp;lang=en_US&amp;offset=0&amp;query=any,contains,991001062659702656","Catalog Record")</f>
        <v/>
      </c>
      <c r="AV285">
        <f>HYPERLINK("http://www.worldcat.org/oclc/15791331","WorldCat Record")</f>
        <v/>
      </c>
      <c r="AW285" t="inlineStr">
        <is>
          <t>253236369:eng</t>
        </is>
      </c>
      <c r="AX285" t="inlineStr">
        <is>
          <t>15791331</t>
        </is>
      </c>
      <c r="AY285" t="inlineStr">
        <is>
          <t>991001062659702656</t>
        </is>
      </c>
      <c r="AZ285" t="inlineStr">
        <is>
          <t>991001062659702656</t>
        </is>
      </c>
      <c r="BA285" t="inlineStr">
        <is>
          <t>2259632370002656</t>
        </is>
      </c>
      <c r="BB285" t="inlineStr">
        <is>
          <t>BOOK</t>
        </is>
      </c>
      <c r="BD285" t="inlineStr">
        <is>
          <t>9780801835285</t>
        </is>
      </c>
      <c r="BE285" t="inlineStr">
        <is>
          <t>32285001250926</t>
        </is>
      </c>
      <c r="BF285" t="inlineStr">
        <is>
          <t>893878588</t>
        </is>
      </c>
    </row>
    <row r="286">
      <c r="A286" t="inlineStr">
        <is>
          <t>No</t>
        </is>
      </c>
      <c r="B286" t="inlineStr">
        <is>
          <t>CURAL</t>
        </is>
      </c>
      <c r="C286" t="inlineStr">
        <is>
          <t>SHELVES</t>
        </is>
      </c>
      <c r="D286" t="inlineStr">
        <is>
          <t>PQ283 .F67 1988</t>
        </is>
      </c>
      <c r="E286" t="inlineStr">
        <is>
          <t>0                      PQ 0283000F  67          1988</t>
        </is>
      </c>
      <c r="F286" t="inlineStr">
        <is>
          <t>Les écrivains français et la mode : de Balzac à nos jours / Rose Fortassier.</t>
        </is>
      </c>
      <c r="H286" t="inlineStr">
        <is>
          <t>No</t>
        </is>
      </c>
      <c r="I286" t="inlineStr">
        <is>
          <t>1</t>
        </is>
      </c>
      <c r="J286" t="inlineStr">
        <is>
          <t>No</t>
        </is>
      </c>
      <c r="K286" t="inlineStr">
        <is>
          <t>No</t>
        </is>
      </c>
      <c r="L286" t="inlineStr">
        <is>
          <t>0</t>
        </is>
      </c>
      <c r="M286" t="inlineStr">
        <is>
          <t>Fortassier, Rose.</t>
        </is>
      </c>
      <c r="N286" t="inlineStr">
        <is>
          <t>Paris : PUF, c1988.</t>
        </is>
      </c>
      <c r="O286" t="inlineStr">
        <is>
          <t>1988</t>
        </is>
      </c>
      <c r="P286" t="inlineStr">
        <is>
          <t>1re éd.</t>
        </is>
      </c>
      <c r="Q286" t="inlineStr">
        <is>
          <t>fre</t>
        </is>
      </c>
      <c r="R286" t="inlineStr">
        <is>
          <t xml:space="preserve">fr </t>
        </is>
      </c>
      <c r="S286" t="inlineStr">
        <is>
          <t>Ecriture, 0222-1179</t>
        </is>
      </c>
      <c r="T286" t="inlineStr">
        <is>
          <t xml:space="preserve">PQ </t>
        </is>
      </c>
      <c r="U286" t="n">
        <v>2</v>
      </c>
      <c r="V286" t="n">
        <v>2</v>
      </c>
      <c r="W286" t="inlineStr">
        <is>
          <t>1999-01-12</t>
        </is>
      </c>
      <c r="X286" t="inlineStr">
        <is>
          <t>1999-01-12</t>
        </is>
      </c>
      <c r="Y286" t="inlineStr">
        <is>
          <t>1995-06-01</t>
        </is>
      </c>
      <c r="Z286" t="inlineStr">
        <is>
          <t>1995-06-01</t>
        </is>
      </c>
      <c r="AA286" t="n">
        <v>154</v>
      </c>
      <c r="AB286" t="n">
        <v>84</v>
      </c>
      <c r="AC286" t="n">
        <v>91</v>
      </c>
      <c r="AD286" t="n">
        <v>2</v>
      </c>
      <c r="AE286" t="n">
        <v>2</v>
      </c>
      <c r="AF286" t="n">
        <v>1</v>
      </c>
      <c r="AG286" t="n">
        <v>1</v>
      </c>
      <c r="AH286" t="n">
        <v>0</v>
      </c>
      <c r="AI286" t="n">
        <v>0</v>
      </c>
      <c r="AJ286" t="n">
        <v>0</v>
      </c>
      <c r="AK286" t="n">
        <v>0</v>
      </c>
      <c r="AL286" t="n">
        <v>0</v>
      </c>
      <c r="AM286" t="n">
        <v>0</v>
      </c>
      <c r="AN286" t="n">
        <v>1</v>
      </c>
      <c r="AO286" t="n">
        <v>1</v>
      </c>
      <c r="AP286" t="n">
        <v>0</v>
      </c>
      <c r="AQ286" t="n">
        <v>0</v>
      </c>
      <c r="AR286" t="inlineStr">
        <is>
          <t>No</t>
        </is>
      </c>
      <c r="AS286" t="inlineStr">
        <is>
          <t>Yes</t>
        </is>
      </c>
      <c r="AT286">
        <f>HYPERLINK("http://catalog.hathitrust.org/Record/001091281","HathiTrust Record")</f>
        <v/>
      </c>
      <c r="AU286">
        <f>HYPERLINK("https://creighton-primo.hosted.exlibrisgroup.com/primo-explore/search?tab=default_tab&amp;search_scope=EVERYTHING&amp;vid=01CRU&amp;lang=en_US&amp;offset=0&amp;query=any,contains,991001581859702656","Catalog Record")</f>
        <v/>
      </c>
      <c r="AV286">
        <f>HYPERLINK("http://www.worldcat.org/oclc/20491070","WorldCat Record")</f>
        <v/>
      </c>
      <c r="AW286" t="inlineStr">
        <is>
          <t>809041459:fre</t>
        </is>
      </c>
      <c r="AX286" t="inlineStr">
        <is>
          <t>20491070</t>
        </is>
      </c>
      <c r="AY286" t="inlineStr">
        <is>
          <t>991001581859702656</t>
        </is>
      </c>
      <c r="AZ286" t="inlineStr">
        <is>
          <t>991001581859702656</t>
        </is>
      </c>
      <c r="BA286" t="inlineStr">
        <is>
          <t>2267337980002656</t>
        </is>
      </c>
      <c r="BB286" t="inlineStr">
        <is>
          <t>BOOK</t>
        </is>
      </c>
      <c r="BD286" t="inlineStr">
        <is>
          <t>9782130414797</t>
        </is>
      </c>
      <c r="BE286" t="inlineStr">
        <is>
          <t>32285002049566</t>
        </is>
      </c>
      <c r="BF286" t="inlineStr">
        <is>
          <t>893872614</t>
        </is>
      </c>
    </row>
    <row r="287">
      <c r="A287" t="inlineStr">
        <is>
          <t>No</t>
        </is>
      </c>
      <c r="B287" t="inlineStr">
        <is>
          <t>CURAL</t>
        </is>
      </c>
      <c r="C287" t="inlineStr">
        <is>
          <t>SHELVES</t>
        </is>
      </c>
      <c r="D287" t="inlineStr">
        <is>
          <t>PQ305 .A98 1993</t>
        </is>
      </c>
      <c r="E287" t="inlineStr">
        <is>
          <t>0                      PQ 0305000A  98          1993</t>
        </is>
      </c>
      <c r="F287" t="inlineStr">
        <is>
          <t>Le XXe siècle : littérature française / Michel Autrand.</t>
        </is>
      </c>
      <c r="H287" t="inlineStr">
        <is>
          <t>No</t>
        </is>
      </c>
      <c r="I287" t="inlineStr">
        <is>
          <t>1</t>
        </is>
      </c>
      <c r="J287" t="inlineStr">
        <is>
          <t>No</t>
        </is>
      </c>
      <c r="K287" t="inlineStr">
        <is>
          <t>No</t>
        </is>
      </c>
      <c r="L287" t="inlineStr">
        <is>
          <t>0</t>
        </is>
      </c>
      <c r="M287" t="inlineStr">
        <is>
          <t>Autrand, Michel.</t>
        </is>
      </c>
      <c r="N287" t="inlineStr">
        <is>
          <t>Nancy : Presses universitaires de Nancy, c1993.</t>
        </is>
      </c>
      <c r="O287" t="inlineStr">
        <is>
          <t>1993</t>
        </is>
      </c>
      <c r="Q287" t="inlineStr">
        <is>
          <t>fre</t>
        </is>
      </c>
      <c r="R287" t="inlineStr">
        <is>
          <t xml:space="preserve">fr </t>
        </is>
      </c>
      <c r="S287" t="inlineStr">
        <is>
          <t>Collection Phares</t>
        </is>
      </c>
      <c r="T287" t="inlineStr">
        <is>
          <t xml:space="preserve">PQ </t>
        </is>
      </c>
      <c r="U287" t="n">
        <v>3</v>
      </c>
      <c r="V287" t="n">
        <v>3</v>
      </c>
      <c r="W287" t="inlineStr">
        <is>
          <t>2003-10-31</t>
        </is>
      </c>
      <c r="X287" t="inlineStr">
        <is>
          <t>2003-10-31</t>
        </is>
      </c>
      <c r="Y287" t="inlineStr">
        <is>
          <t>1995-08-21</t>
        </is>
      </c>
      <c r="Z287" t="inlineStr">
        <is>
          <t>1995-08-21</t>
        </is>
      </c>
      <c r="AA287" t="n">
        <v>108</v>
      </c>
      <c r="AB287" t="n">
        <v>75</v>
      </c>
      <c r="AC287" t="n">
        <v>80</v>
      </c>
      <c r="AD287" t="n">
        <v>2</v>
      </c>
      <c r="AE287" t="n">
        <v>2</v>
      </c>
      <c r="AF287" t="n">
        <v>6</v>
      </c>
      <c r="AG287" t="n">
        <v>6</v>
      </c>
      <c r="AH287" t="n">
        <v>0</v>
      </c>
      <c r="AI287" t="n">
        <v>0</v>
      </c>
      <c r="AJ287" t="n">
        <v>2</v>
      </c>
      <c r="AK287" t="n">
        <v>2</v>
      </c>
      <c r="AL287" t="n">
        <v>4</v>
      </c>
      <c r="AM287" t="n">
        <v>4</v>
      </c>
      <c r="AN287" t="n">
        <v>1</v>
      </c>
      <c r="AO287" t="n">
        <v>1</v>
      </c>
      <c r="AP287" t="n">
        <v>0</v>
      </c>
      <c r="AQ287" t="n">
        <v>0</v>
      </c>
      <c r="AR287" t="inlineStr">
        <is>
          <t>No</t>
        </is>
      </c>
      <c r="AS287" t="inlineStr">
        <is>
          <t>Yes</t>
        </is>
      </c>
      <c r="AT287">
        <f>HYPERLINK("http://catalog.hathitrust.org/Record/002865254","HathiTrust Record")</f>
        <v/>
      </c>
      <c r="AU287">
        <f>HYPERLINK("https://creighton-primo.hosted.exlibrisgroup.com/primo-explore/search?tab=default_tab&amp;search_scope=EVERYTHING&amp;vid=01CRU&amp;lang=en_US&amp;offset=0&amp;query=any,contains,991002427049702656","Catalog Record")</f>
        <v/>
      </c>
      <c r="AV287">
        <f>HYPERLINK("http://www.worldcat.org/oclc/31609834","WorldCat Record")</f>
        <v/>
      </c>
      <c r="AW287" t="inlineStr">
        <is>
          <t>315347333:fre</t>
        </is>
      </c>
      <c r="AX287" t="inlineStr">
        <is>
          <t>31609834</t>
        </is>
      </c>
      <c r="AY287" t="inlineStr">
        <is>
          <t>991002427049702656</t>
        </is>
      </c>
      <c r="AZ287" t="inlineStr">
        <is>
          <t>991002427049702656</t>
        </is>
      </c>
      <c r="BA287" t="inlineStr">
        <is>
          <t>2267812700002656</t>
        </is>
      </c>
      <c r="BB287" t="inlineStr">
        <is>
          <t>BOOK</t>
        </is>
      </c>
      <c r="BD287" t="inlineStr">
        <is>
          <t>9782864806455</t>
        </is>
      </c>
      <c r="BE287" t="inlineStr">
        <is>
          <t>32285002077898</t>
        </is>
      </c>
      <c r="BF287" t="inlineStr">
        <is>
          <t>893316796</t>
        </is>
      </c>
    </row>
    <row r="288">
      <c r="A288" t="inlineStr">
        <is>
          <t>No</t>
        </is>
      </c>
      <c r="B288" t="inlineStr">
        <is>
          <t>CURAL</t>
        </is>
      </c>
      <c r="C288" t="inlineStr">
        <is>
          <t>SHELVES</t>
        </is>
      </c>
      <c r="D288" t="inlineStr">
        <is>
          <t>PQ305 .B64 1983</t>
        </is>
      </c>
      <c r="E288" t="inlineStr">
        <is>
          <t>0                      PQ 0305000B  64          1983</t>
        </is>
      </c>
      <c r="F288" t="inlineStr">
        <is>
          <t>Twentieth-century French literature / Germaine Brée ; translated by Louise Guiney.</t>
        </is>
      </c>
      <c r="H288" t="inlineStr">
        <is>
          <t>No</t>
        </is>
      </c>
      <c r="I288" t="inlineStr">
        <is>
          <t>1</t>
        </is>
      </c>
      <c r="J288" t="inlineStr">
        <is>
          <t>No</t>
        </is>
      </c>
      <c r="K288" t="inlineStr">
        <is>
          <t>No</t>
        </is>
      </c>
      <c r="L288" t="inlineStr">
        <is>
          <t>0</t>
        </is>
      </c>
      <c r="M288" t="inlineStr">
        <is>
          <t>Brée, Germaine.</t>
        </is>
      </c>
      <c r="N288" t="inlineStr">
        <is>
          <t>Chicago : University of Chicago Press, c1983.</t>
        </is>
      </c>
      <c r="O288" t="inlineStr">
        <is>
          <t>1983</t>
        </is>
      </c>
      <c r="Q288" t="inlineStr">
        <is>
          <t>eng</t>
        </is>
      </c>
      <c r="R288" t="inlineStr">
        <is>
          <t>ilu</t>
        </is>
      </c>
      <c r="T288" t="inlineStr">
        <is>
          <t xml:space="preserve">PQ </t>
        </is>
      </c>
      <c r="U288" t="n">
        <v>5</v>
      </c>
      <c r="V288" t="n">
        <v>5</v>
      </c>
      <c r="W288" t="inlineStr">
        <is>
          <t>1998-02-23</t>
        </is>
      </c>
      <c r="X288" t="inlineStr">
        <is>
          <t>1998-02-23</t>
        </is>
      </c>
      <c r="Y288" t="inlineStr">
        <is>
          <t>1992-08-03</t>
        </is>
      </c>
      <c r="Z288" t="inlineStr">
        <is>
          <t>1992-08-03</t>
        </is>
      </c>
      <c r="AA288" t="n">
        <v>983</v>
      </c>
      <c r="AB288" t="n">
        <v>847</v>
      </c>
      <c r="AC288" t="n">
        <v>852</v>
      </c>
      <c r="AD288" t="n">
        <v>4</v>
      </c>
      <c r="AE288" t="n">
        <v>4</v>
      </c>
      <c r="AF288" t="n">
        <v>34</v>
      </c>
      <c r="AG288" t="n">
        <v>34</v>
      </c>
      <c r="AH288" t="n">
        <v>17</v>
      </c>
      <c r="AI288" t="n">
        <v>17</v>
      </c>
      <c r="AJ288" t="n">
        <v>8</v>
      </c>
      <c r="AK288" t="n">
        <v>8</v>
      </c>
      <c r="AL288" t="n">
        <v>16</v>
      </c>
      <c r="AM288" t="n">
        <v>16</v>
      </c>
      <c r="AN288" t="n">
        <v>3</v>
      </c>
      <c r="AO288" t="n">
        <v>3</v>
      </c>
      <c r="AP288" t="n">
        <v>0</v>
      </c>
      <c r="AQ288" t="n">
        <v>0</v>
      </c>
      <c r="AR288" t="inlineStr">
        <is>
          <t>No</t>
        </is>
      </c>
      <c r="AS288" t="inlineStr">
        <is>
          <t>No</t>
        </is>
      </c>
      <c r="AU288">
        <f>HYPERLINK("https://creighton-primo.hosted.exlibrisgroup.com/primo-explore/search?tab=default_tab&amp;search_scope=EVERYTHING&amp;vid=01CRU&amp;lang=en_US&amp;offset=0&amp;query=any,contains,991000064959702656","Catalog Record")</f>
        <v/>
      </c>
      <c r="AV288">
        <f>HYPERLINK("http://www.worldcat.org/oclc/8763158","WorldCat Record")</f>
        <v/>
      </c>
      <c r="AW288" t="inlineStr">
        <is>
          <t>4495006657:eng</t>
        </is>
      </c>
      <c r="AX288" t="inlineStr">
        <is>
          <t>8763158</t>
        </is>
      </c>
      <c r="AY288" t="inlineStr">
        <is>
          <t>991000064959702656</t>
        </is>
      </c>
      <c r="AZ288" t="inlineStr">
        <is>
          <t>991000064959702656</t>
        </is>
      </c>
      <c r="BA288" t="inlineStr">
        <is>
          <t>2266582470002656</t>
        </is>
      </c>
      <c r="BB288" t="inlineStr">
        <is>
          <t>BOOK</t>
        </is>
      </c>
      <c r="BD288" t="inlineStr">
        <is>
          <t>9780226071954</t>
        </is>
      </c>
      <c r="BE288" t="inlineStr">
        <is>
          <t>32285001250991</t>
        </is>
      </c>
      <c r="BF288" t="inlineStr">
        <is>
          <t>893345347</t>
        </is>
      </c>
    </row>
    <row r="289">
      <c r="A289" t="inlineStr">
        <is>
          <t>No</t>
        </is>
      </c>
      <c r="B289" t="inlineStr">
        <is>
          <t>CURAL</t>
        </is>
      </c>
      <c r="C289" t="inlineStr">
        <is>
          <t>SHELVES</t>
        </is>
      </c>
      <c r="D289" t="inlineStr">
        <is>
          <t>PQ305 .G78 1997</t>
        </is>
      </c>
      <c r="E289" t="inlineStr">
        <is>
          <t>0                      PQ 0305000G  78          1997</t>
        </is>
      </c>
      <c r="F289" t="inlineStr">
        <is>
          <t>Literary polemics : Bataille, Sartre, Valéry, Breton / Suzanne Guerlac.</t>
        </is>
      </c>
      <c r="H289" t="inlineStr">
        <is>
          <t>No</t>
        </is>
      </c>
      <c r="I289" t="inlineStr">
        <is>
          <t>1</t>
        </is>
      </c>
      <c r="J289" t="inlineStr">
        <is>
          <t>No</t>
        </is>
      </c>
      <c r="K289" t="inlineStr">
        <is>
          <t>No</t>
        </is>
      </c>
      <c r="L289" t="inlineStr">
        <is>
          <t>0</t>
        </is>
      </c>
      <c r="M289" t="inlineStr">
        <is>
          <t>Guerlac, Suzanne, 1950-</t>
        </is>
      </c>
      <c r="N289" t="inlineStr">
        <is>
          <t>Stanford, Calif. : Stanford University Press, 1997.</t>
        </is>
      </c>
      <c r="O289" t="inlineStr">
        <is>
          <t>1997</t>
        </is>
      </c>
      <c r="Q289" t="inlineStr">
        <is>
          <t>eng</t>
        </is>
      </c>
      <c r="R289" t="inlineStr">
        <is>
          <t>cau</t>
        </is>
      </c>
      <c r="T289" t="inlineStr">
        <is>
          <t xml:space="preserve">PQ </t>
        </is>
      </c>
      <c r="U289" t="n">
        <v>1</v>
      </c>
      <c r="V289" t="n">
        <v>1</v>
      </c>
      <c r="W289" t="inlineStr">
        <is>
          <t>2002-06-19</t>
        </is>
      </c>
      <c r="X289" t="inlineStr">
        <is>
          <t>2002-06-19</t>
        </is>
      </c>
      <c r="Y289" t="inlineStr">
        <is>
          <t>2002-06-05</t>
        </is>
      </c>
      <c r="Z289" t="inlineStr">
        <is>
          <t>2002-06-05</t>
        </is>
      </c>
      <c r="AA289" t="n">
        <v>365</v>
      </c>
      <c r="AB289" t="n">
        <v>274</v>
      </c>
      <c r="AC289" t="n">
        <v>302</v>
      </c>
      <c r="AD289" t="n">
        <v>3</v>
      </c>
      <c r="AE289" t="n">
        <v>4</v>
      </c>
      <c r="AF289" t="n">
        <v>16</v>
      </c>
      <c r="AG289" t="n">
        <v>20</v>
      </c>
      <c r="AH289" t="n">
        <v>4</v>
      </c>
      <c r="AI289" t="n">
        <v>7</v>
      </c>
      <c r="AJ289" t="n">
        <v>5</v>
      </c>
      <c r="AK289" t="n">
        <v>6</v>
      </c>
      <c r="AL289" t="n">
        <v>10</v>
      </c>
      <c r="AM289" t="n">
        <v>10</v>
      </c>
      <c r="AN289" t="n">
        <v>2</v>
      </c>
      <c r="AO289" t="n">
        <v>3</v>
      </c>
      <c r="AP289" t="n">
        <v>0</v>
      </c>
      <c r="AQ289" t="n">
        <v>0</v>
      </c>
      <c r="AR289" t="inlineStr">
        <is>
          <t>No</t>
        </is>
      </c>
      <c r="AS289" t="inlineStr">
        <is>
          <t>No</t>
        </is>
      </c>
      <c r="AU289">
        <f>HYPERLINK("https://creighton-primo.hosted.exlibrisgroup.com/primo-explore/search?tab=default_tab&amp;search_scope=EVERYTHING&amp;vid=01CRU&amp;lang=en_US&amp;offset=0&amp;query=any,contains,991003790379702656","Catalog Record")</f>
        <v/>
      </c>
      <c r="AV289">
        <f>HYPERLINK("http://www.worldcat.org/oclc/35174743","WorldCat Record")</f>
        <v/>
      </c>
      <c r="AW289" t="inlineStr">
        <is>
          <t>793829828:eng</t>
        </is>
      </c>
      <c r="AX289" t="inlineStr">
        <is>
          <t>35174743</t>
        </is>
      </c>
      <c r="AY289" t="inlineStr">
        <is>
          <t>991003790379702656</t>
        </is>
      </c>
      <c r="AZ289" t="inlineStr">
        <is>
          <t>991003790379702656</t>
        </is>
      </c>
      <c r="BA289" t="inlineStr">
        <is>
          <t>2271751260002656</t>
        </is>
      </c>
      <c r="BB289" t="inlineStr">
        <is>
          <t>BOOK</t>
        </is>
      </c>
      <c r="BD289" t="inlineStr">
        <is>
          <t>9780804727150</t>
        </is>
      </c>
      <c r="BE289" t="inlineStr">
        <is>
          <t>32285004491170</t>
        </is>
      </c>
      <c r="BF289" t="inlineStr">
        <is>
          <t>893234599</t>
        </is>
      </c>
    </row>
    <row r="290">
      <c r="A290" t="inlineStr">
        <is>
          <t>No</t>
        </is>
      </c>
      <c r="B290" t="inlineStr">
        <is>
          <t>CURAL</t>
        </is>
      </c>
      <c r="C290" t="inlineStr">
        <is>
          <t>SHELVES</t>
        </is>
      </c>
      <c r="D290" t="inlineStr">
        <is>
          <t>PQ305 .R6 1980</t>
        </is>
      </c>
      <c r="E290" t="inlineStr">
        <is>
          <t>0                      PQ 0305000R  6           1980</t>
        </is>
      </c>
      <c r="F290" t="inlineStr">
        <is>
          <t>French literature in the twentieth century / Christopher Robinson.</t>
        </is>
      </c>
      <c r="H290" t="inlineStr">
        <is>
          <t>No</t>
        </is>
      </c>
      <c r="I290" t="inlineStr">
        <is>
          <t>1</t>
        </is>
      </c>
      <c r="J290" t="inlineStr">
        <is>
          <t>No</t>
        </is>
      </c>
      <c r="K290" t="inlineStr">
        <is>
          <t>No</t>
        </is>
      </c>
      <c r="L290" t="inlineStr">
        <is>
          <t>0</t>
        </is>
      </c>
      <c r="M290" t="inlineStr">
        <is>
          <t>Robinson, Christopher.</t>
        </is>
      </c>
      <c r="N290" t="inlineStr">
        <is>
          <t>Newton Abbot, Devon : David &amp; Charles ; Totowa, N.J. : Barnes &amp; Noble, c1980.</t>
        </is>
      </c>
      <c r="O290" t="inlineStr">
        <is>
          <t>1980</t>
        </is>
      </c>
      <c r="Q290" t="inlineStr">
        <is>
          <t>eng</t>
        </is>
      </c>
      <c r="R290" t="inlineStr">
        <is>
          <t>enk</t>
        </is>
      </c>
      <c r="S290" t="inlineStr">
        <is>
          <t>Comparative literature</t>
        </is>
      </c>
      <c r="T290" t="inlineStr">
        <is>
          <t xml:space="preserve">PQ </t>
        </is>
      </c>
      <c r="U290" t="n">
        <v>1</v>
      </c>
      <c r="V290" t="n">
        <v>1</v>
      </c>
      <c r="W290" t="inlineStr">
        <is>
          <t>2003-02-13</t>
        </is>
      </c>
      <c r="X290" t="inlineStr">
        <is>
          <t>2003-02-13</t>
        </is>
      </c>
      <c r="Y290" t="inlineStr">
        <is>
          <t>2003-02-13</t>
        </is>
      </c>
      <c r="Z290" t="inlineStr">
        <is>
          <t>2003-02-13</t>
        </is>
      </c>
      <c r="AA290" t="n">
        <v>626</v>
      </c>
      <c r="AB290" t="n">
        <v>486</v>
      </c>
      <c r="AC290" t="n">
        <v>489</v>
      </c>
      <c r="AD290" t="n">
        <v>4</v>
      </c>
      <c r="AE290" t="n">
        <v>4</v>
      </c>
      <c r="AF290" t="n">
        <v>22</v>
      </c>
      <c r="AG290" t="n">
        <v>22</v>
      </c>
      <c r="AH290" t="n">
        <v>10</v>
      </c>
      <c r="AI290" t="n">
        <v>10</v>
      </c>
      <c r="AJ290" t="n">
        <v>6</v>
      </c>
      <c r="AK290" t="n">
        <v>6</v>
      </c>
      <c r="AL290" t="n">
        <v>10</v>
      </c>
      <c r="AM290" t="n">
        <v>10</v>
      </c>
      <c r="AN290" t="n">
        <v>3</v>
      </c>
      <c r="AO290" t="n">
        <v>3</v>
      </c>
      <c r="AP290" t="n">
        <v>0</v>
      </c>
      <c r="AQ290" t="n">
        <v>0</v>
      </c>
      <c r="AR290" t="inlineStr">
        <is>
          <t>No</t>
        </is>
      </c>
      <c r="AS290" t="inlineStr">
        <is>
          <t>Yes</t>
        </is>
      </c>
      <c r="AT290">
        <f>HYPERLINK("http://catalog.hathitrust.org/Record/000731307","HathiTrust Record")</f>
        <v/>
      </c>
      <c r="AU290">
        <f>HYPERLINK("https://creighton-primo.hosted.exlibrisgroup.com/primo-explore/search?tab=default_tab&amp;search_scope=EVERYTHING&amp;vid=01CRU&amp;lang=en_US&amp;offset=0&amp;query=any,contains,991003995869702656","Catalog Record")</f>
        <v/>
      </c>
      <c r="AV290">
        <f>HYPERLINK("http://www.worldcat.org/oclc/7088606","WorldCat Record")</f>
        <v/>
      </c>
      <c r="AW290" t="inlineStr">
        <is>
          <t>288044982:eng</t>
        </is>
      </c>
      <c r="AX290" t="inlineStr">
        <is>
          <t>7088606</t>
        </is>
      </c>
      <c r="AY290" t="inlineStr">
        <is>
          <t>991003995869702656</t>
        </is>
      </c>
      <c r="AZ290" t="inlineStr">
        <is>
          <t>991003995869702656</t>
        </is>
      </c>
      <c r="BA290" t="inlineStr">
        <is>
          <t>2271122970002656</t>
        </is>
      </c>
      <c r="BB290" t="inlineStr">
        <is>
          <t>BOOK</t>
        </is>
      </c>
      <c r="BD290" t="inlineStr">
        <is>
          <t>9780389201212</t>
        </is>
      </c>
      <c r="BE290" t="inlineStr">
        <is>
          <t>32285004698733</t>
        </is>
      </c>
      <c r="BF290" t="inlineStr">
        <is>
          <t>893343339</t>
        </is>
      </c>
    </row>
    <row r="291">
      <c r="A291" t="inlineStr">
        <is>
          <t>No</t>
        </is>
      </c>
      <c r="B291" t="inlineStr">
        <is>
          <t>CURAL</t>
        </is>
      </c>
      <c r="C291" t="inlineStr">
        <is>
          <t>SHELVES</t>
        </is>
      </c>
      <c r="D291" t="inlineStr">
        <is>
          <t>PQ307.P66 F57 1991</t>
        </is>
      </c>
      <c r="E291" t="inlineStr">
        <is>
          <t>0                      PQ 0307000P  66                 F  57          1991</t>
        </is>
      </c>
      <c r="F291" t="inlineStr">
        <is>
          <t>The purloined punch line : Freud's comic theory and the postmodern text / Jerry Aline Flieger.</t>
        </is>
      </c>
      <c r="H291" t="inlineStr">
        <is>
          <t>No</t>
        </is>
      </c>
      <c r="I291" t="inlineStr">
        <is>
          <t>1</t>
        </is>
      </c>
      <c r="J291" t="inlineStr">
        <is>
          <t>No</t>
        </is>
      </c>
      <c r="K291" t="inlineStr">
        <is>
          <t>No</t>
        </is>
      </c>
      <c r="L291" t="inlineStr">
        <is>
          <t>0</t>
        </is>
      </c>
      <c r="M291" t="inlineStr">
        <is>
          <t>Flieger, Jerry Aline, 1947-</t>
        </is>
      </c>
      <c r="N291" t="inlineStr">
        <is>
          <t>Baltimore : Johns Hopkins University Press, c1991.</t>
        </is>
      </c>
      <c r="O291" t="inlineStr">
        <is>
          <t>1991</t>
        </is>
      </c>
      <c r="Q291" t="inlineStr">
        <is>
          <t>eng</t>
        </is>
      </c>
      <c r="R291" t="inlineStr">
        <is>
          <t>mdu</t>
        </is>
      </c>
      <c r="T291" t="inlineStr">
        <is>
          <t xml:space="preserve">PQ </t>
        </is>
      </c>
      <c r="U291" t="n">
        <v>1</v>
      </c>
      <c r="V291" t="n">
        <v>1</v>
      </c>
      <c r="W291" t="inlineStr">
        <is>
          <t>2001-04-23</t>
        </is>
      </c>
      <c r="X291" t="inlineStr">
        <is>
          <t>2001-04-23</t>
        </is>
      </c>
      <c r="Y291" t="inlineStr">
        <is>
          <t>1991-02-14</t>
        </is>
      </c>
      <c r="Z291" t="inlineStr">
        <is>
          <t>1991-02-14</t>
        </is>
      </c>
      <c r="AA291" t="n">
        <v>380</v>
      </c>
      <c r="AB291" t="n">
        <v>318</v>
      </c>
      <c r="AC291" t="n">
        <v>325</v>
      </c>
      <c r="AD291" t="n">
        <v>4</v>
      </c>
      <c r="AE291" t="n">
        <v>4</v>
      </c>
      <c r="AF291" t="n">
        <v>15</v>
      </c>
      <c r="AG291" t="n">
        <v>15</v>
      </c>
      <c r="AH291" t="n">
        <v>2</v>
      </c>
      <c r="AI291" t="n">
        <v>2</v>
      </c>
      <c r="AJ291" t="n">
        <v>5</v>
      </c>
      <c r="AK291" t="n">
        <v>5</v>
      </c>
      <c r="AL291" t="n">
        <v>9</v>
      </c>
      <c r="AM291" t="n">
        <v>9</v>
      </c>
      <c r="AN291" t="n">
        <v>3</v>
      </c>
      <c r="AO291" t="n">
        <v>3</v>
      </c>
      <c r="AP291" t="n">
        <v>0</v>
      </c>
      <c r="AQ291" t="n">
        <v>0</v>
      </c>
      <c r="AR291" t="inlineStr">
        <is>
          <t>No</t>
        </is>
      </c>
      <c r="AS291" t="inlineStr">
        <is>
          <t>Yes</t>
        </is>
      </c>
      <c r="AT291">
        <f>HYPERLINK("http://catalog.hathitrust.org/Record/002238254","HathiTrust Record")</f>
        <v/>
      </c>
      <c r="AU291">
        <f>HYPERLINK("https://creighton-primo.hosted.exlibrisgroup.com/primo-explore/search?tab=default_tab&amp;search_scope=EVERYTHING&amp;vid=01CRU&amp;lang=en_US&amp;offset=0&amp;query=any,contains,991001688029702656","Catalog Record")</f>
        <v/>
      </c>
      <c r="AV291">
        <f>HYPERLINK("http://www.worldcat.org/oclc/21409835","WorldCat Record")</f>
        <v/>
      </c>
      <c r="AW291" t="inlineStr">
        <is>
          <t>889697425:eng</t>
        </is>
      </c>
      <c r="AX291" t="inlineStr">
        <is>
          <t>21409835</t>
        </is>
      </c>
      <c r="AY291" t="inlineStr">
        <is>
          <t>991001688029702656</t>
        </is>
      </c>
      <c r="AZ291" t="inlineStr">
        <is>
          <t>991001688029702656</t>
        </is>
      </c>
      <c r="BA291" t="inlineStr">
        <is>
          <t>2272124570002656</t>
        </is>
      </c>
      <c r="BB291" t="inlineStr">
        <is>
          <t>BOOK</t>
        </is>
      </c>
      <c r="BD291" t="inlineStr">
        <is>
          <t>9780801840487</t>
        </is>
      </c>
      <c r="BE291" t="inlineStr">
        <is>
          <t>32285000464973</t>
        </is>
      </c>
      <c r="BF291" t="inlineStr">
        <is>
          <t>893503596</t>
        </is>
      </c>
    </row>
    <row r="292">
      <c r="A292" t="inlineStr">
        <is>
          <t>No</t>
        </is>
      </c>
      <c r="B292" t="inlineStr">
        <is>
          <t>CURAL</t>
        </is>
      </c>
      <c r="C292" t="inlineStr">
        <is>
          <t>SHELVES</t>
        </is>
      </c>
      <c r="D292" t="inlineStr">
        <is>
          <t>PQ3897 .L313 1974</t>
        </is>
      </c>
      <c r="E292" t="inlineStr">
        <is>
          <t>0                      PQ 3897000L  313         1974</t>
        </is>
      </c>
      <c r="F292" t="inlineStr">
        <is>
          <t>Black writers in French : a literary history of negritude / Lilyan Kesteloot ; translated by Ellen Conroy Kennedy.</t>
        </is>
      </c>
      <c r="H292" t="inlineStr">
        <is>
          <t>No</t>
        </is>
      </c>
      <c r="I292" t="inlineStr">
        <is>
          <t>1</t>
        </is>
      </c>
      <c r="J292" t="inlineStr">
        <is>
          <t>No</t>
        </is>
      </c>
      <c r="K292" t="inlineStr">
        <is>
          <t>No</t>
        </is>
      </c>
      <c r="L292" t="inlineStr">
        <is>
          <t>0</t>
        </is>
      </c>
      <c r="M292" t="inlineStr">
        <is>
          <t>Kesteloot, Lilyan.</t>
        </is>
      </c>
      <c r="N292" t="inlineStr">
        <is>
          <t>Philadelphia : Temple University Press, 1974.</t>
        </is>
      </c>
      <c r="O292" t="inlineStr">
        <is>
          <t>1974</t>
        </is>
      </c>
      <c r="Q292" t="inlineStr">
        <is>
          <t>fre</t>
        </is>
      </c>
      <c r="R292" t="inlineStr">
        <is>
          <t>pau</t>
        </is>
      </c>
      <c r="T292" t="inlineStr">
        <is>
          <t xml:space="preserve">PQ </t>
        </is>
      </c>
      <c r="U292" t="n">
        <v>3</v>
      </c>
      <c r="V292" t="n">
        <v>3</v>
      </c>
      <c r="W292" t="inlineStr">
        <is>
          <t>2003-02-02</t>
        </is>
      </c>
      <c r="X292" t="inlineStr">
        <is>
          <t>2003-02-02</t>
        </is>
      </c>
      <c r="Y292" t="inlineStr">
        <is>
          <t>1997-06-17</t>
        </is>
      </c>
      <c r="Z292" t="inlineStr">
        <is>
          <t>1997-06-17</t>
        </is>
      </c>
      <c r="AA292" t="n">
        <v>687</v>
      </c>
      <c r="AB292" t="n">
        <v>631</v>
      </c>
      <c r="AC292" t="n">
        <v>735</v>
      </c>
      <c r="AD292" t="n">
        <v>6</v>
      </c>
      <c r="AE292" t="n">
        <v>6</v>
      </c>
      <c r="AF292" t="n">
        <v>29</v>
      </c>
      <c r="AG292" t="n">
        <v>34</v>
      </c>
      <c r="AH292" t="n">
        <v>10</v>
      </c>
      <c r="AI292" t="n">
        <v>14</v>
      </c>
      <c r="AJ292" t="n">
        <v>7</v>
      </c>
      <c r="AK292" t="n">
        <v>8</v>
      </c>
      <c r="AL292" t="n">
        <v>13</v>
      </c>
      <c r="AM292" t="n">
        <v>16</v>
      </c>
      <c r="AN292" t="n">
        <v>5</v>
      </c>
      <c r="AO292" t="n">
        <v>5</v>
      </c>
      <c r="AP292" t="n">
        <v>0</v>
      </c>
      <c r="AQ292" t="n">
        <v>0</v>
      </c>
      <c r="AR292" t="inlineStr">
        <is>
          <t>No</t>
        </is>
      </c>
      <c r="AS292" t="inlineStr">
        <is>
          <t>Yes</t>
        </is>
      </c>
      <c r="AT292">
        <f>HYPERLINK("http://catalog.hathitrust.org/Record/001202138","HathiTrust Record")</f>
        <v/>
      </c>
      <c r="AU292">
        <f>HYPERLINK("https://creighton-primo.hosted.exlibrisgroup.com/primo-explore/search?tab=default_tab&amp;search_scope=EVERYTHING&amp;vid=01CRU&amp;lang=en_US&amp;offset=0&amp;query=any,contains,991003481119702656","Catalog Record")</f>
        <v/>
      </c>
      <c r="AV292">
        <f>HYPERLINK("http://www.worldcat.org/oclc/1028829","WorldCat Record")</f>
        <v/>
      </c>
      <c r="AW292" t="inlineStr">
        <is>
          <t>3901008602:eng</t>
        </is>
      </c>
      <c r="AX292" t="inlineStr">
        <is>
          <t>1028829</t>
        </is>
      </c>
      <c r="AY292" t="inlineStr">
        <is>
          <t>991003481119702656</t>
        </is>
      </c>
      <c r="AZ292" t="inlineStr">
        <is>
          <t>991003481119702656</t>
        </is>
      </c>
      <c r="BA292" t="inlineStr">
        <is>
          <t>2254971330002656</t>
        </is>
      </c>
      <c r="BB292" t="inlineStr">
        <is>
          <t>BOOK</t>
        </is>
      </c>
      <c r="BD292" t="inlineStr">
        <is>
          <t>9780877220565</t>
        </is>
      </c>
      <c r="BE292" t="inlineStr">
        <is>
          <t>32285002797438</t>
        </is>
      </c>
      <c r="BF292" t="inlineStr">
        <is>
          <t>893531218</t>
        </is>
      </c>
    </row>
    <row r="293">
      <c r="A293" t="inlineStr">
        <is>
          <t>No</t>
        </is>
      </c>
      <c r="B293" t="inlineStr">
        <is>
          <t>CURAL</t>
        </is>
      </c>
      <c r="C293" t="inlineStr">
        <is>
          <t>SHELVES</t>
        </is>
      </c>
      <c r="D293" t="inlineStr">
        <is>
          <t>PQ3939.B3 Z7 2002</t>
        </is>
      </c>
      <c r="E293" t="inlineStr">
        <is>
          <t>0                      PQ 3939000B  3                  Z  7           2002</t>
        </is>
      </c>
      <c r="F293" t="inlineStr">
        <is>
          <t>Wild heart, a life : Natalie Clifford Barney's journey from Victorian America to Belle Époque Paris / Suzanne Rodriguez.</t>
        </is>
      </c>
      <c r="H293" t="inlineStr">
        <is>
          <t>No</t>
        </is>
      </c>
      <c r="I293" t="inlineStr">
        <is>
          <t>1</t>
        </is>
      </c>
      <c r="J293" t="inlineStr">
        <is>
          <t>No</t>
        </is>
      </c>
      <c r="K293" t="inlineStr">
        <is>
          <t>No</t>
        </is>
      </c>
      <c r="L293" t="inlineStr">
        <is>
          <t>0</t>
        </is>
      </c>
      <c r="M293" t="inlineStr">
        <is>
          <t>Rodriguez, Suzanne, 1946-</t>
        </is>
      </c>
      <c r="N293" t="inlineStr">
        <is>
          <t>New York : Ecco, c2002.</t>
        </is>
      </c>
      <c r="O293" t="inlineStr">
        <is>
          <t>2002</t>
        </is>
      </c>
      <c r="P293" t="inlineStr">
        <is>
          <t>1st ed.</t>
        </is>
      </c>
      <c r="Q293" t="inlineStr">
        <is>
          <t>eng</t>
        </is>
      </c>
      <c r="R293" t="inlineStr">
        <is>
          <t>nyu</t>
        </is>
      </c>
      <c r="T293" t="inlineStr">
        <is>
          <t xml:space="preserve">PQ </t>
        </is>
      </c>
      <c r="U293" t="n">
        <v>2</v>
      </c>
      <c r="V293" t="n">
        <v>2</v>
      </c>
      <c r="W293" t="inlineStr">
        <is>
          <t>2002-10-28</t>
        </is>
      </c>
      <c r="X293" t="inlineStr">
        <is>
          <t>2002-10-28</t>
        </is>
      </c>
      <c r="Y293" t="inlineStr">
        <is>
          <t>2002-10-28</t>
        </is>
      </c>
      <c r="Z293" t="inlineStr">
        <is>
          <t>2002-10-28</t>
        </is>
      </c>
      <c r="AA293" t="n">
        <v>296</v>
      </c>
      <c r="AB293" t="n">
        <v>276</v>
      </c>
      <c r="AC293" t="n">
        <v>354</v>
      </c>
      <c r="AD293" t="n">
        <v>3</v>
      </c>
      <c r="AE293" t="n">
        <v>4</v>
      </c>
      <c r="AF293" t="n">
        <v>11</v>
      </c>
      <c r="AG293" t="n">
        <v>12</v>
      </c>
      <c r="AH293" t="n">
        <v>2</v>
      </c>
      <c r="AI293" t="n">
        <v>2</v>
      </c>
      <c r="AJ293" t="n">
        <v>5</v>
      </c>
      <c r="AK293" t="n">
        <v>5</v>
      </c>
      <c r="AL293" t="n">
        <v>5</v>
      </c>
      <c r="AM293" t="n">
        <v>5</v>
      </c>
      <c r="AN293" t="n">
        <v>2</v>
      </c>
      <c r="AO293" t="n">
        <v>3</v>
      </c>
      <c r="AP293" t="n">
        <v>0</v>
      </c>
      <c r="AQ293" t="n">
        <v>0</v>
      </c>
      <c r="AR293" t="inlineStr">
        <is>
          <t>No</t>
        </is>
      </c>
      <c r="AS293" t="inlineStr">
        <is>
          <t>No</t>
        </is>
      </c>
      <c r="AU293">
        <f>HYPERLINK("https://creighton-primo.hosted.exlibrisgroup.com/primo-explore/search?tab=default_tab&amp;search_scope=EVERYTHING&amp;vid=01CRU&amp;lang=en_US&amp;offset=0&amp;query=any,contains,991003918819702656","Catalog Record")</f>
        <v/>
      </c>
      <c r="AV293">
        <f>HYPERLINK("http://www.worldcat.org/oclc/52799534","WorldCat Record")</f>
        <v/>
      </c>
      <c r="AW293" t="inlineStr">
        <is>
          <t>290656328:eng</t>
        </is>
      </c>
      <c r="AX293" t="inlineStr">
        <is>
          <t>52799534</t>
        </is>
      </c>
      <c r="AY293" t="inlineStr">
        <is>
          <t>991003918819702656</t>
        </is>
      </c>
      <c r="AZ293" t="inlineStr">
        <is>
          <t>991003918819702656</t>
        </is>
      </c>
      <c r="BA293" t="inlineStr">
        <is>
          <t>2269135260002656</t>
        </is>
      </c>
      <c r="BB293" t="inlineStr">
        <is>
          <t>BOOK</t>
        </is>
      </c>
      <c r="BD293" t="inlineStr">
        <is>
          <t>9780066213651</t>
        </is>
      </c>
      <c r="BE293" t="inlineStr">
        <is>
          <t>32285004657234</t>
        </is>
      </c>
      <c r="BF293" t="inlineStr">
        <is>
          <t>893263015</t>
        </is>
      </c>
    </row>
    <row r="294">
      <c r="A294" t="inlineStr">
        <is>
          <t>No</t>
        </is>
      </c>
      <c r="B294" t="inlineStr">
        <is>
          <t>CURAL</t>
        </is>
      </c>
      <c r="C294" t="inlineStr">
        <is>
          <t>SHELVES</t>
        </is>
      </c>
      <c r="D294" t="inlineStr">
        <is>
          <t>PQ3980 .P3 1979</t>
        </is>
      </c>
      <c r="E294" t="inlineStr">
        <is>
          <t>0                      PQ 3980000P  3           1979</t>
        </is>
      </c>
      <c r="F294" t="inlineStr">
        <is>
          <t>Littérature négro-africaine d'expression française : le mouvement littéraire contemporain dans l'Afrique Noire / Robert Pageard.</t>
        </is>
      </c>
      <c r="H294" t="inlineStr">
        <is>
          <t>No</t>
        </is>
      </c>
      <c r="I294" t="inlineStr">
        <is>
          <t>1</t>
        </is>
      </c>
      <c r="J294" t="inlineStr">
        <is>
          <t>No</t>
        </is>
      </c>
      <c r="K294" t="inlineStr">
        <is>
          <t>No</t>
        </is>
      </c>
      <c r="L294" t="inlineStr">
        <is>
          <t>0</t>
        </is>
      </c>
      <c r="M294" t="inlineStr">
        <is>
          <t>Pageard, Robert.</t>
        </is>
      </c>
      <c r="N294" t="inlineStr">
        <is>
          <t>Paris : L'École, 1979.</t>
        </is>
      </c>
      <c r="O294" t="inlineStr">
        <is>
          <t>1979</t>
        </is>
      </c>
      <c r="P294" t="inlineStr">
        <is>
          <t>4e éd. rev. et augm.</t>
        </is>
      </c>
      <c r="Q294" t="inlineStr">
        <is>
          <t>fre</t>
        </is>
      </c>
      <c r="R294" t="inlineStr">
        <is>
          <t xml:space="preserve">fr </t>
        </is>
      </c>
      <c r="T294" t="inlineStr">
        <is>
          <t xml:space="preserve">PQ </t>
        </is>
      </c>
      <c r="U294" t="n">
        <v>2</v>
      </c>
      <c r="V294" t="n">
        <v>2</v>
      </c>
      <c r="W294" t="inlineStr">
        <is>
          <t>2000-08-28</t>
        </is>
      </c>
      <c r="X294" t="inlineStr">
        <is>
          <t>2000-08-28</t>
        </is>
      </c>
      <c r="Y294" t="inlineStr">
        <is>
          <t>1998-06-09</t>
        </is>
      </c>
      <c r="Z294" t="inlineStr">
        <is>
          <t>1998-06-09</t>
        </is>
      </c>
      <c r="AA294" t="n">
        <v>67</v>
      </c>
      <c r="AB294" t="n">
        <v>33</v>
      </c>
      <c r="AC294" t="n">
        <v>275</v>
      </c>
      <c r="AD294" t="n">
        <v>1</v>
      </c>
      <c r="AE294" t="n">
        <v>3</v>
      </c>
      <c r="AF294" t="n">
        <v>2</v>
      </c>
      <c r="AG294" t="n">
        <v>13</v>
      </c>
      <c r="AH294" t="n">
        <v>0</v>
      </c>
      <c r="AI294" t="n">
        <v>2</v>
      </c>
      <c r="AJ294" t="n">
        <v>1</v>
      </c>
      <c r="AK294" t="n">
        <v>2</v>
      </c>
      <c r="AL294" t="n">
        <v>2</v>
      </c>
      <c r="AM294" t="n">
        <v>10</v>
      </c>
      <c r="AN294" t="n">
        <v>0</v>
      </c>
      <c r="AO294" t="n">
        <v>2</v>
      </c>
      <c r="AP294" t="n">
        <v>0</v>
      </c>
      <c r="AQ294" t="n">
        <v>0</v>
      </c>
      <c r="AR294" t="inlineStr">
        <is>
          <t>No</t>
        </is>
      </c>
      <c r="AS294" t="inlineStr">
        <is>
          <t>Yes</t>
        </is>
      </c>
      <c r="AT294">
        <f>HYPERLINK("http://catalog.hathitrust.org/Record/000724708","HathiTrust Record")</f>
        <v/>
      </c>
      <c r="AU294">
        <f>HYPERLINK("https://creighton-primo.hosted.exlibrisgroup.com/primo-explore/search?tab=default_tab&amp;search_scope=EVERYTHING&amp;vid=01CRU&amp;lang=en_US&amp;offset=0&amp;query=any,contains,991005130169702656","Catalog Record")</f>
        <v/>
      </c>
      <c r="AV294">
        <f>HYPERLINK("http://www.worldcat.org/oclc/7570651","WorldCat Record")</f>
        <v/>
      </c>
      <c r="AW294" t="inlineStr">
        <is>
          <t>1643717:fre</t>
        </is>
      </c>
      <c r="AX294" t="inlineStr">
        <is>
          <t>7570651</t>
        </is>
      </c>
      <c r="AY294" t="inlineStr">
        <is>
          <t>991005130169702656</t>
        </is>
      </c>
      <c r="AZ294" t="inlineStr">
        <is>
          <t>991005130169702656</t>
        </is>
      </c>
      <c r="BA294" t="inlineStr">
        <is>
          <t>2270704250002656</t>
        </is>
      </c>
      <c r="BB294" t="inlineStr">
        <is>
          <t>BOOK</t>
        </is>
      </c>
      <c r="BD294" t="inlineStr">
        <is>
          <t>9782211915021</t>
        </is>
      </c>
      <c r="BE294" t="inlineStr">
        <is>
          <t>32285003414108</t>
        </is>
      </c>
      <c r="BF294" t="inlineStr">
        <is>
          <t>893600665</t>
        </is>
      </c>
    </row>
    <row r="295">
      <c r="A295" t="inlineStr">
        <is>
          <t>No</t>
        </is>
      </c>
      <c r="B295" t="inlineStr">
        <is>
          <t>CURAL</t>
        </is>
      </c>
      <c r="C295" t="inlineStr">
        <is>
          <t>SHELVES</t>
        </is>
      </c>
      <c r="D295" t="inlineStr">
        <is>
          <t>PQ3984 .B7</t>
        </is>
      </c>
      <c r="E295" t="inlineStr">
        <is>
          <t>0                      PQ 3984000B  7</t>
        </is>
      </c>
      <c r="F295" t="inlineStr">
        <is>
          <t>The novelists' inheritance in French Africa: writers from Senegal to Cameroon [by] A. C. Brench.</t>
        </is>
      </c>
      <c r="H295" t="inlineStr">
        <is>
          <t>No</t>
        </is>
      </c>
      <c r="I295" t="inlineStr">
        <is>
          <t>1</t>
        </is>
      </c>
      <c r="J295" t="inlineStr">
        <is>
          <t>No</t>
        </is>
      </c>
      <c r="K295" t="inlineStr">
        <is>
          <t>No</t>
        </is>
      </c>
      <c r="L295" t="inlineStr">
        <is>
          <t>0</t>
        </is>
      </c>
      <c r="M295" t="inlineStr">
        <is>
          <t>Brench, A. C. (Anthony Cecil)</t>
        </is>
      </c>
      <c r="N295" t="inlineStr">
        <is>
          <t>London, Nairobi [etc.] Oxford U.P., 1967.</t>
        </is>
      </c>
      <c r="O295" t="inlineStr">
        <is>
          <t>1967</t>
        </is>
      </c>
      <c r="Q295" t="inlineStr">
        <is>
          <t>eng</t>
        </is>
      </c>
      <c r="R295" t="inlineStr">
        <is>
          <t>enk</t>
        </is>
      </c>
      <c r="S295" t="inlineStr">
        <is>
          <t>A Three crowns book</t>
        </is>
      </c>
      <c r="T295" t="inlineStr">
        <is>
          <t xml:space="preserve">PQ </t>
        </is>
      </c>
      <c r="U295" t="n">
        <v>6</v>
      </c>
      <c r="V295" t="n">
        <v>6</v>
      </c>
      <c r="W295" t="inlineStr">
        <is>
          <t>2003-02-02</t>
        </is>
      </c>
      <c r="X295" t="inlineStr">
        <is>
          <t>2003-02-02</t>
        </is>
      </c>
      <c r="Y295" t="inlineStr">
        <is>
          <t>1997-07-29</t>
        </is>
      </c>
      <c r="Z295" t="inlineStr">
        <is>
          <t>1997-07-29</t>
        </is>
      </c>
      <c r="AA295" t="n">
        <v>305</v>
      </c>
      <c r="AB295" t="n">
        <v>231</v>
      </c>
      <c r="AC295" t="n">
        <v>239</v>
      </c>
      <c r="AD295" t="n">
        <v>2</v>
      </c>
      <c r="AE295" t="n">
        <v>2</v>
      </c>
      <c r="AF295" t="n">
        <v>10</v>
      </c>
      <c r="AG295" t="n">
        <v>10</v>
      </c>
      <c r="AH295" t="n">
        <v>0</v>
      </c>
      <c r="AI295" t="n">
        <v>0</v>
      </c>
      <c r="AJ295" t="n">
        <v>2</v>
      </c>
      <c r="AK295" t="n">
        <v>2</v>
      </c>
      <c r="AL295" t="n">
        <v>8</v>
      </c>
      <c r="AM295" t="n">
        <v>8</v>
      </c>
      <c r="AN295" t="n">
        <v>1</v>
      </c>
      <c r="AO295" t="n">
        <v>1</v>
      </c>
      <c r="AP295" t="n">
        <v>0</v>
      </c>
      <c r="AQ295" t="n">
        <v>0</v>
      </c>
      <c r="AR295" t="inlineStr">
        <is>
          <t>No</t>
        </is>
      </c>
      <c r="AS295" t="inlineStr">
        <is>
          <t>Yes</t>
        </is>
      </c>
      <c r="AT295">
        <f>HYPERLINK("http://catalog.hathitrust.org/Record/001202922","HathiTrust Record")</f>
        <v/>
      </c>
      <c r="AU295">
        <f>HYPERLINK("https://creighton-primo.hosted.exlibrisgroup.com/primo-explore/search?tab=default_tab&amp;search_scope=EVERYTHING&amp;vid=01CRU&amp;lang=en_US&amp;offset=0&amp;query=any,contains,991002817609702656","Catalog Record")</f>
        <v/>
      </c>
      <c r="AV295">
        <f>HYPERLINK("http://www.worldcat.org/oclc/462288","WorldCat Record")</f>
        <v/>
      </c>
      <c r="AW295" t="inlineStr">
        <is>
          <t>1503646:eng</t>
        </is>
      </c>
      <c r="AX295" t="inlineStr">
        <is>
          <t>462288</t>
        </is>
      </c>
      <c r="AY295" t="inlineStr">
        <is>
          <t>991002817609702656</t>
        </is>
      </c>
      <c r="AZ295" t="inlineStr">
        <is>
          <t>991002817609702656</t>
        </is>
      </c>
      <c r="BA295" t="inlineStr">
        <is>
          <t>2261570740002656</t>
        </is>
      </c>
      <c r="BB295" t="inlineStr">
        <is>
          <t>BOOK</t>
        </is>
      </c>
      <c r="BE295" t="inlineStr">
        <is>
          <t>32285002797602</t>
        </is>
      </c>
      <c r="BF295" t="inlineStr">
        <is>
          <t>893780254</t>
        </is>
      </c>
    </row>
    <row r="296">
      <c r="A296" t="inlineStr">
        <is>
          <t>No</t>
        </is>
      </c>
      <c r="B296" t="inlineStr">
        <is>
          <t>CURAL</t>
        </is>
      </c>
      <c r="C296" t="inlineStr">
        <is>
          <t>SHELVES</t>
        </is>
      </c>
      <c r="D296" t="inlineStr">
        <is>
          <t>PQ3985 .G54 1997</t>
        </is>
      </c>
      <c r="E296" t="inlineStr">
        <is>
          <t>0                      PQ 3985000G  54          1997</t>
        </is>
      </c>
      <c r="F296" t="inlineStr">
        <is>
          <t>Ecrivains noirs d'Afrique et des Antilles / Ronald Gérard Giguère.</t>
        </is>
      </c>
      <c r="H296" t="inlineStr">
        <is>
          <t>No</t>
        </is>
      </c>
      <c r="I296" t="inlineStr">
        <is>
          <t>1</t>
        </is>
      </c>
      <c r="J296" t="inlineStr">
        <is>
          <t>No</t>
        </is>
      </c>
      <c r="K296" t="inlineStr">
        <is>
          <t>No</t>
        </is>
      </c>
      <c r="L296" t="inlineStr">
        <is>
          <t>0</t>
        </is>
      </c>
      <c r="M296" t="inlineStr">
        <is>
          <t>Giguère, Ronald Gérard.</t>
        </is>
      </c>
      <c r="N296" t="inlineStr">
        <is>
          <t>New York : P. Lang, c1997.</t>
        </is>
      </c>
      <c r="O296" t="inlineStr">
        <is>
          <t>1997</t>
        </is>
      </c>
      <c r="Q296" t="inlineStr">
        <is>
          <t>fre</t>
        </is>
      </c>
      <c r="R296" t="inlineStr">
        <is>
          <t>nyu</t>
        </is>
      </c>
      <c r="S296" t="inlineStr">
        <is>
          <t>American university studies. Series XVIII, African literature ; v. 2</t>
        </is>
      </c>
      <c r="T296" t="inlineStr">
        <is>
          <t xml:space="preserve">PQ </t>
        </is>
      </c>
      <c r="U296" t="n">
        <v>3</v>
      </c>
      <c r="V296" t="n">
        <v>3</v>
      </c>
      <c r="W296" t="inlineStr">
        <is>
          <t>2000-08-28</t>
        </is>
      </c>
      <c r="X296" t="inlineStr">
        <is>
          <t>2000-08-28</t>
        </is>
      </c>
      <c r="Y296" t="inlineStr">
        <is>
          <t>1998-06-29</t>
        </is>
      </c>
      <c r="Z296" t="inlineStr">
        <is>
          <t>1998-06-29</t>
        </is>
      </c>
      <c r="AA296" t="n">
        <v>141</v>
      </c>
      <c r="AB296" t="n">
        <v>89</v>
      </c>
      <c r="AC296" t="n">
        <v>107</v>
      </c>
      <c r="AD296" t="n">
        <v>2</v>
      </c>
      <c r="AE296" t="n">
        <v>2</v>
      </c>
      <c r="AF296" t="n">
        <v>6</v>
      </c>
      <c r="AG296" t="n">
        <v>7</v>
      </c>
      <c r="AH296" t="n">
        <v>1</v>
      </c>
      <c r="AI296" t="n">
        <v>2</v>
      </c>
      <c r="AJ296" t="n">
        <v>2</v>
      </c>
      <c r="AK296" t="n">
        <v>2</v>
      </c>
      <c r="AL296" t="n">
        <v>5</v>
      </c>
      <c r="AM296" t="n">
        <v>6</v>
      </c>
      <c r="AN296" t="n">
        <v>1</v>
      </c>
      <c r="AO296" t="n">
        <v>1</v>
      </c>
      <c r="AP296" t="n">
        <v>0</v>
      </c>
      <c r="AQ296" t="n">
        <v>0</v>
      </c>
      <c r="AR296" t="inlineStr">
        <is>
          <t>No</t>
        </is>
      </c>
      <c r="AS296" t="inlineStr">
        <is>
          <t>Yes</t>
        </is>
      </c>
      <c r="AT296">
        <f>HYPERLINK("http://catalog.hathitrust.org/Record/003941846","HathiTrust Record")</f>
        <v/>
      </c>
      <c r="AU296">
        <f>HYPERLINK("https://creighton-primo.hosted.exlibrisgroup.com/primo-explore/search?tab=default_tab&amp;search_scope=EVERYTHING&amp;vid=01CRU&amp;lang=en_US&amp;offset=0&amp;query=any,contains,991005410819702656","Catalog Record")</f>
        <v/>
      </c>
      <c r="AV296">
        <f>HYPERLINK("http://www.worldcat.org/oclc/19627182","WorldCat Record")</f>
        <v/>
      </c>
      <c r="AW296" t="inlineStr">
        <is>
          <t>21547772:fre</t>
        </is>
      </c>
      <c r="AX296" t="inlineStr">
        <is>
          <t>19627182</t>
        </is>
      </c>
      <c r="AY296" t="inlineStr">
        <is>
          <t>991005410819702656</t>
        </is>
      </c>
      <c r="AZ296" t="inlineStr">
        <is>
          <t>991005410819702656</t>
        </is>
      </c>
      <c r="BA296" t="inlineStr">
        <is>
          <t>2266212400002656</t>
        </is>
      </c>
      <c r="BB296" t="inlineStr">
        <is>
          <t>BOOK</t>
        </is>
      </c>
      <c r="BD296" t="inlineStr">
        <is>
          <t>9780820409900</t>
        </is>
      </c>
      <c r="BE296" t="inlineStr">
        <is>
          <t>32285003424180</t>
        </is>
      </c>
      <c r="BF296" t="inlineStr">
        <is>
          <t>893521153</t>
        </is>
      </c>
    </row>
    <row r="297">
      <c r="A297" t="inlineStr">
        <is>
          <t>No</t>
        </is>
      </c>
      <c r="B297" t="inlineStr">
        <is>
          <t>CURAL</t>
        </is>
      </c>
      <c r="C297" t="inlineStr">
        <is>
          <t>SHELVES</t>
        </is>
      </c>
      <c r="D297" t="inlineStr">
        <is>
          <t>PQ3988.5.N6 O75 1999</t>
        </is>
      </c>
      <c r="E297" t="inlineStr">
        <is>
          <t>0                      PQ 3988500N  6                  O  75          1999</t>
        </is>
      </c>
      <c r="F297" t="inlineStr">
        <is>
          <t>Nomadic voices of exile : feminine identity in francophone literature of the Maghreb / Valérie Orlando.</t>
        </is>
      </c>
      <c r="H297" t="inlineStr">
        <is>
          <t>No</t>
        </is>
      </c>
      <c r="I297" t="inlineStr">
        <is>
          <t>1</t>
        </is>
      </c>
      <c r="J297" t="inlineStr">
        <is>
          <t>No</t>
        </is>
      </c>
      <c r="K297" t="inlineStr">
        <is>
          <t>No</t>
        </is>
      </c>
      <c r="L297" t="inlineStr">
        <is>
          <t>0</t>
        </is>
      </c>
      <c r="M297" t="inlineStr">
        <is>
          <t>Orlando, Valérie, 1963-</t>
        </is>
      </c>
      <c r="N297" t="inlineStr">
        <is>
          <t>Athens : Ohio University Press, c1999.</t>
        </is>
      </c>
      <c r="O297" t="inlineStr">
        <is>
          <t>1999</t>
        </is>
      </c>
      <c r="Q297" t="inlineStr">
        <is>
          <t>eng</t>
        </is>
      </c>
      <c r="R297" t="inlineStr">
        <is>
          <t>ohu</t>
        </is>
      </c>
      <c r="T297" t="inlineStr">
        <is>
          <t xml:space="preserve">PQ </t>
        </is>
      </c>
      <c r="U297" t="n">
        <v>1</v>
      </c>
      <c r="V297" t="n">
        <v>1</v>
      </c>
      <c r="W297" t="inlineStr">
        <is>
          <t>2004-04-07</t>
        </is>
      </c>
      <c r="X297" t="inlineStr">
        <is>
          <t>2004-04-07</t>
        </is>
      </c>
      <c r="Y297" t="inlineStr">
        <is>
          <t>2004-04-07</t>
        </is>
      </c>
      <c r="Z297" t="inlineStr">
        <is>
          <t>2004-04-07</t>
        </is>
      </c>
      <c r="AA297" t="n">
        <v>287</v>
      </c>
      <c r="AB297" t="n">
        <v>225</v>
      </c>
      <c r="AC297" t="n">
        <v>232</v>
      </c>
      <c r="AD297" t="n">
        <v>2</v>
      </c>
      <c r="AE297" t="n">
        <v>2</v>
      </c>
      <c r="AF297" t="n">
        <v>13</v>
      </c>
      <c r="AG297" t="n">
        <v>13</v>
      </c>
      <c r="AH297" t="n">
        <v>2</v>
      </c>
      <c r="AI297" t="n">
        <v>2</v>
      </c>
      <c r="AJ297" t="n">
        <v>4</v>
      </c>
      <c r="AK297" t="n">
        <v>4</v>
      </c>
      <c r="AL297" t="n">
        <v>8</v>
      </c>
      <c r="AM297" t="n">
        <v>8</v>
      </c>
      <c r="AN297" t="n">
        <v>1</v>
      </c>
      <c r="AO297" t="n">
        <v>1</v>
      </c>
      <c r="AP297" t="n">
        <v>0</v>
      </c>
      <c r="AQ297" t="n">
        <v>0</v>
      </c>
      <c r="AR297" t="inlineStr">
        <is>
          <t>No</t>
        </is>
      </c>
      <c r="AS297" t="inlineStr">
        <is>
          <t>Yes</t>
        </is>
      </c>
      <c r="AT297">
        <f>HYPERLINK("http://catalog.hathitrust.org/Record/004045899","HathiTrust Record")</f>
        <v/>
      </c>
      <c r="AU297">
        <f>HYPERLINK("https://creighton-primo.hosted.exlibrisgroup.com/primo-explore/search?tab=default_tab&amp;search_scope=EVERYTHING&amp;vid=01CRU&amp;lang=en_US&amp;offset=0&amp;query=any,contains,991004272829702656","Catalog Record")</f>
        <v/>
      </c>
      <c r="AV297">
        <f>HYPERLINK("http://www.worldcat.org/oclc/40218700","WorldCat Record")</f>
        <v/>
      </c>
      <c r="AW297" t="inlineStr">
        <is>
          <t>138855236:eng</t>
        </is>
      </c>
      <c r="AX297" t="inlineStr">
        <is>
          <t>40218700</t>
        </is>
      </c>
      <c r="AY297" t="inlineStr">
        <is>
          <t>991004272829702656</t>
        </is>
      </c>
      <c r="AZ297" t="inlineStr">
        <is>
          <t>991004272829702656</t>
        </is>
      </c>
      <c r="BA297" t="inlineStr">
        <is>
          <t>2271621450002656</t>
        </is>
      </c>
      <c r="BB297" t="inlineStr">
        <is>
          <t>BOOK</t>
        </is>
      </c>
      <c r="BD297" t="inlineStr">
        <is>
          <t>9780821412626</t>
        </is>
      </c>
      <c r="BE297" t="inlineStr">
        <is>
          <t>32285004898630</t>
        </is>
      </c>
      <c r="BF297" t="inlineStr">
        <is>
          <t>893882273</t>
        </is>
      </c>
    </row>
    <row r="298">
      <c r="A298" t="inlineStr">
        <is>
          <t>No</t>
        </is>
      </c>
      <c r="B298" t="inlineStr">
        <is>
          <t>CURAL</t>
        </is>
      </c>
      <c r="C298" t="inlineStr">
        <is>
          <t>SHELVES</t>
        </is>
      </c>
      <c r="D298" t="inlineStr">
        <is>
          <t>PQ3989.2.D57 Z66 2001</t>
        </is>
      </c>
      <c r="E298" t="inlineStr">
        <is>
          <t>0                      PQ 3989200D  57                 Z  66          2001</t>
        </is>
      </c>
      <c r="F298" t="inlineStr">
        <is>
          <t>Recasting postcolonialism : women writing between worlds / Anne Donadey.</t>
        </is>
      </c>
      <c r="H298" t="inlineStr">
        <is>
          <t>No</t>
        </is>
      </c>
      <c r="I298" t="inlineStr">
        <is>
          <t>1</t>
        </is>
      </c>
      <c r="J298" t="inlineStr">
        <is>
          <t>No</t>
        </is>
      </c>
      <c r="K298" t="inlineStr">
        <is>
          <t>No</t>
        </is>
      </c>
      <c r="L298" t="inlineStr">
        <is>
          <t>0</t>
        </is>
      </c>
      <c r="M298" t="inlineStr">
        <is>
          <t>Donadey, Anne.</t>
        </is>
      </c>
      <c r="N298" t="inlineStr">
        <is>
          <t>Portsmouth, N.H. : Heinemann, c2001.</t>
        </is>
      </c>
      <c r="O298" t="inlineStr">
        <is>
          <t>2001</t>
        </is>
      </c>
      <c r="Q298" t="inlineStr">
        <is>
          <t>eng</t>
        </is>
      </c>
      <c r="R298" t="inlineStr">
        <is>
          <t>nhu</t>
        </is>
      </c>
      <c r="S298" t="inlineStr">
        <is>
          <t>Studies in African literature, 1351-5713</t>
        </is>
      </c>
      <c r="T298" t="inlineStr">
        <is>
          <t xml:space="preserve">PQ </t>
        </is>
      </c>
      <c r="U298" t="n">
        <v>1</v>
      </c>
      <c r="V298" t="n">
        <v>1</v>
      </c>
      <c r="W298" t="inlineStr">
        <is>
          <t>2004-09-08</t>
        </is>
      </c>
      <c r="X298" t="inlineStr">
        <is>
          <t>2004-09-08</t>
        </is>
      </c>
      <c r="Y298" t="inlineStr">
        <is>
          <t>2004-09-08</t>
        </is>
      </c>
      <c r="Z298" t="inlineStr">
        <is>
          <t>2004-09-08</t>
        </is>
      </c>
      <c r="AA298" t="n">
        <v>391</v>
      </c>
      <c r="AB298" t="n">
        <v>304</v>
      </c>
      <c r="AC298" t="n">
        <v>310</v>
      </c>
      <c r="AD298" t="n">
        <v>3</v>
      </c>
      <c r="AE298" t="n">
        <v>3</v>
      </c>
      <c r="AF298" t="n">
        <v>20</v>
      </c>
      <c r="AG298" t="n">
        <v>20</v>
      </c>
      <c r="AH298" t="n">
        <v>7</v>
      </c>
      <c r="AI298" t="n">
        <v>7</v>
      </c>
      <c r="AJ298" t="n">
        <v>8</v>
      </c>
      <c r="AK298" t="n">
        <v>8</v>
      </c>
      <c r="AL298" t="n">
        <v>9</v>
      </c>
      <c r="AM298" t="n">
        <v>9</v>
      </c>
      <c r="AN298" t="n">
        <v>2</v>
      </c>
      <c r="AO298" t="n">
        <v>2</v>
      </c>
      <c r="AP298" t="n">
        <v>0</v>
      </c>
      <c r="AQ298" t="n">
        <v>0</v>
      </c>
      <c r="AR298" t="inlineStr">
        <is>
          <t>No</t>
        </is>
      </c>
      <c r="AS298" t="inlineStr">
        <is>
          <t>Yes</t>
        </is>
      </c>
      <c r="AT298">
        <f>HYPERLINK("http://catalog.hathitrust.org/Record/004197602","HathiTrust Record")</f>
        <v/>
      </c>
      <c r="AU298">
        <f>HYPERLINK("https://creighton-primo.hosted.exlibrisgroup.com/primo-explore/search?tab=default_tab&amp;search_scope=EVERYTHING&amp;vid=01CRU&amp;lang=en_US&amp;offset=0&amp;query=any,contains,991004342829702656","Catalog Record")</f>
        <v/>
      </c>
      <c r="AV298">
        <f>HYPERLINK("http://www.worldcat.org/oclc/44876946","WorldCat Record")</f>
        <v/>
      </c>
      <c r="AW298" t="inlineStr">
        <is>
          <t>837071648:eng</t>
        </is>
      </c>
      <c r="AX298" t="inlineStr">
        <is>
          <t>44876946</t>
        </is>
      </c>
      <c r="AY298" t="inlineStr">
        <is>
          <t>991004342829702656</t>
        </is>
      </c>
      <c r="AZ298" t="inlineStr">
        <is>
          <t>991004342829702656</t>
        </is>
      </c>
      <c r="BA298" t="inlineStr">
        <is>
          <t>2255751300002656</t>
        </is>
      </c>
      <c r="BB298" t="inlineStr">
        <is>
          <t>BOOK</t>
        </is>
      </c>
      <c r="BD298" t="inlineStr">
        <is>
          <t>9780325070223</t>
        </is>
      </c>
      <c r="BE298" t="inlineStr">
        <is>
          <t>32285004985510</t>
        </is>
      </c>
      <c r="BF298" t="inlineStr">
        <is>
          <t>893411413</t>
        </is>
      </c>
    </row>
    <row r="299">
      <c r="A299" t="inlineStr">
        <is>
          <t>No</t>
        </is>
      </c>
      <c r="B299" t="inlineStr">
        <is>
          <t>CURAL</t>
        </is>
      </c>
      <c r="C299" t="inlineStr">
        <is>
          <t>SHELVES</t>
        </is>
      </c>
      <c r="D299" t="inlineStr">
        <is>
          <t>PQ3989.C5 I56 1991</t>
        </is>
      </c>
      <c r="E299" t="inlineStr">
        <is>
          <t>0                      PQ 3989000C  5                  I  56          1991</t>
        </is>
      </c>
      <c r="F299" t="inlineStr">
        <is>
          <t>L'inspecteur Ali : roman / Driss Chraïbi.</t>
        </is>
      </c>
      <c r="H299" t="inlineStr">
        <is>
          <t>No</t>
        </is>
      </c>
      <c r="I299" t="inlineStr">
        <is>
          <t>1</t>
        </is>
      </c>
      <c r="J299" t="inlineStr">
        <is>
          <t>No</t>
        </is>
      </c>
      <c r="K299" t="inlineStr">
        <is>
          <t>No</t>
        </is>
      </c>
      <c r="L299" t="inlineStr">
        <is>
          <t>0</t>
        </is>
      </c>
      <c r="M299" t="inlineStr">
        <is>
          <t>Chraïbi, Driss, 1926-2007.</t>
        </is>
      </c>
      <c r="N299" t="inlineStr">
        <is>
          <t>Paris : Denoël, c1991.</t>
        </is>
      </c>
      <c r="O299" t="inlineStr">
        <is>
          <t>1991</t>
        </is>
      </c>
      <c r="Q299" t="inlineStr">
        <is>
          <t>fre</t>
        </is>
      </c>
      <c r="R299" t="inlineStr">
        <is>
          <t xml:space="preserve">fr </t>
        </is>
      </c>
      <c r="T299" t="inlineStr">
        <is>
          <t xml:space="preserve">PQ </t>
        </is>
      </c>
      <c r="U299" t="n">
        <v>1</v>
      </c>
      <c r="V299" t="n">
        <v>1</v>
      </c>
      <c r="W299" t="inlineStr">
        <is>
          <t>1994-08-31</t>
        </is>
      </c>
      <c r="X299" t="inlineStr">
        <is>
          <t>1994-08-31</t>
        </is>
      </c>
      <c r="Y299" t="inlineStr">
        <is>
          <t>1994-08-08</t>
        </is>
      </c>
      <c r="Z299" t="inlineStr">
        <is>
          <t>1994-08-08</t>
        </is>
      </c>
      <c r="AA299" t="n">
        <v>104</v>
      </c>
      <c r="AB299" t="n">
        <v>68</v>
      </c>
      <c r="AC299" t="n">
        <v>104</v>
      </c>
      <c r="AD299" t="n">
        <v>1</v>
      </c>
      <c r="AE299" t="n">
        <v>2</v>
      </c>
      <c r="AF299" t="n">
        <v>3</v>
      </c>
      <c r="AG299" t="n">
        <v>6</v>
      </c>
      <c r="AH299" t="n">
        <v>0</v>
      </c>
      <c r="AI299" t="n">
        <v>1</v>
      </c>
      <c r="AJ299" t="n">
        <v>2</v>
      </c>
      <c r="AK299" t="n">
        <v>3</v>
      </c>
      <c r="AL299" t="n">
        <v>2</v>
      </c>
      <c r="AM299" t="n">
        <v>2</v>
      </c>
      <c r="AN299" t="n">
        <v>0</v>
      </c>
      <c r="AO299" t="n">
        <v>1</v>
      </c>
      <c r="AP299" t="n">
        <v>0</v>
      </c>
      <c r="AQ299" t="n">
        <v>0</v>
      </c>
      <c r="AR299" t="inlineStr">
        <is>
          <t>No</t>
        </is>
      </c>
      <c r="AS299" t="inlineStr">
        <is>
          <t>Yes</t>
        </is>
      </c>
      <c r="AT299">
        <f>HYPERLINK("http://catalog.hathitrust.org/Record/002530597","HathiTrust Record")</f>
        <v/>
      </c>
      <c r="AU299">
        <f>HYPERLINK("https://creighton-primo.hosted.exlibrisgroup.com/primo-explore/search?tab=default_tab&amp;search_scope=EVERYTHING&amp;vid=01CRU&amp;lang=en_US&amp;offset=0&amp;query=any,contains,991001956439702656","Catalog Record")</f>
        <v/>
      </c>
      <c r="AV299">
        <f>HYPERLINK("http://www.worldcat.org/oclc/24785396","WorldCat Record")</f>
        <v/>
      </c>
      <c r="AW299" t="inlineStr">
        <is>
          <t>33276520:fre</t>
        </is>
      </c>
      <c r="AX299" t="inlineStr">
        <is>
          <t>24785396</t>
        </is>
      </c>
      <c r="AY299" t="inlineStr">
        <is>
          <t>991001956439702656</t>
        </is>
      </c>
      <c r="AZ299" t="inlineStr">
        <is>
          <t>991001956439702656</t>
        </is>
      </c>
      <c r="BA299" t="inlineStr">
        <is>
          <t>2266396220002656</t>
        </is>
      </c>
      <c r="BB299" t="inlineStr">
        <is>
          <t>BOOK</t>
        </is>
      </c>
      <c r="BD299" t="inlineStr">
        <is>
          <t>9782207238820</t>
        </is>
      </c>
      <c r="BE299" t="inlineStr">
        <is>
          <t>32285001941649</t>
        </is>
      </c>
      <c r="BF299" t="inlineStr">
        <is>
          <t>893885683</t>
        </is>
      </c>
    </row>
    <row r="300">
      <c r="A300" t="inlineStr">
        <is>
          <t>No</t>
        </is>
      </c>
      <c r="B300" t="inlineStr">
        <is>
          <t>CURAL</t>
        </is>
      </c>
      <c r="C300" t="inlineStr">
        <is>
          <t>SHELVES</t>
        </is>
      </c>
      <c r="D300" t="inlineStr">
        <is>
          <t>PQ3989.S47 Z95 1990</t>
        </is>
      </c>
      <c r="E300" t="inlineStr">
        <is>
          <t>0                      PQ 3989000S  47                 Z  95          1990</t>
        </is>
      </c>
      <c r="F300" t="inlineStr">
        <is>
          <t>Black, French, and African : a life of Léopold Sédar Senghor / Janet G. Vaillant.</t>
        </is>
      </c>
      <c r="H300" t="inlineStr">
        <is>
          <t>No</t>
        </is>
      </c>
      <c r="I300" t="inlineStr">
        <is>
          <t>1</t>
        </is>
      </c>
      <c r="J300" t="inlineStr">
        <is>
          <t>No</t>
        </is>
      </c>
      <c r="K300" t="inlineStr">
        <is>
          <t>No</t>
        </is>
      </c>
      <c r="L300" t="inlineStr">
        <is>
          <t>0</t>
        </is>
      </c>
      <c r="M300" t="inlineStr">
        <is>
          <t>Vaillant, Janet G.</t>
        </is>
      </c>
      <c r="N300" t="inlineStr">
        <is>
          <t>Cambridge, Mass. : Harvard University Press, 1990.</t>
        </is>
      </c>
      <c r="O300" t="inlineStr">
        <is>
          <t>1990</t>
        </is>
      </c>
      <c r="Q300" t="inlineStr">
        <is>
          <t>eng</t>
        </is>
      </c>
      <c r="R300" t="inlineStr">
        <is>
          <t>mau</t>
        </is>
      </c>
      <c r="T300" t="inlineStr">
        <is>
          <t xml:space="preserve">PQ </t>
        </is>
      </c>
      <c r="U300" t="n">
        <v>2</v>
      </c>
      <c r="V300" t="n">
        <v>2</v>
      </c>
      <c r="W300" t="inlineStr">
        <is>
          <t>1994-10-09</t>
        </is>
      </c>
      <c r="X300" t="inlineStr">
        <is>
          <t>1994-10-09</t>
        </is>
      </c>
      <c r="Y300" t="inlineStr">
        <is>
          <t>1991-01-17</t>
        </is>
      </c>
      <c r="Z300" t="inlineStr">
        <is>
          <t>1991-01-17</t>
        </is>
      </c>
      <c r="AA300" t="n">
        <v>843</v>
      </c>
      <c r="AB300" t="n">
        <v>727</v>
      </c>
      <c r="AC300" t="n">
        <v>751</v>
      </c>
      <c r="AD300" t="n">
        <v>4</v>
      </c>
      <c r="AE300" t="n">
        <v>4</v>
      </c>
      <c r="AF300" t="n">
        <v>32</v>
      </c>
      <c r="AG300" t="n">
        <v>33</v>
      </c>
      <c r="AH300" t="n">
        <v>12</v>
      </c>
      <c r="AI300" t="n">
        <v>12</v>
      </c>
      <c r="AJ300" t="n">
        <v>8</v>
      </c>
      <c r="AK300" t="n">
        <v>9</v>
      </c>
      <c r="AL300" t="n">
        <v>18</v>
      </c>
      <c r="AM300" t="n">
        <v>19</v>
      </c>
      <c r="AN300" t="n">
        <v>3</v>
      </c>
      <c r="AO300" t="n">
        <v>3</v>
      </c>
      <c r="AP300" t="n">
        <v>0</v>
      </c>
      <c r="AQ300" t="n">
        <v>0</v>
      </c>
      <c r="AR300" t="inlineStr">
        <is>
          <t>No</t>
        </is>
      </c>
      <c r="AS300" t="inlineStr">
        <is>
          <t>Yes</t>
        </is>
      </c>
      <c r="AT300">
        <f>HYPERLINK("http://catalog.hathitrust.org/Record/004514521","HathiTrust Record")</f>
        <v/>
      </c>
      <c r="AU300">
        <f>HYPERLINK("https://creighton-primo.hosted.exlibrisgroup.com/primo-explore/search?tab=default_tab&amp;search_scope=EVERYTHING&amp;vid=01CRU&amp;lang=en_US&amp;offset=0&amp;query=any,contains,991001604549702656","Catalog Record")</f>
        <v/>
      </c>
      <c r="AV300">
        <f>HYPERLINK("http://www.worldcat.org/oclc/20690705","WorldCat Record")</f>
        <v/>
      </c>
      <c r="AW300" t="inlineStr">
        <is>
          <t>22671965:eng</t>
        </is>
      </c>
      <c r="AX300" t="inlineStr">
        <is>
          <t>20690705</t>
        </is>
      </c>
      <c r="AY300" t="inlineStr">
        <is>
          <t>991001604549702656</t>
        </is>
      </c>
      <c r="AZ300" t="inlineStr">
        <is>
          <t>991001604549702656</t>
        </is>
      </c>
      <c r="BA300" t="inlineStr">
        <is>
          <t>2257953800002656</t>
        </is>
      </c>
      <c r="BB300" t="inlineStr">
        <is>
          <t>BOOK</t>
        </is>
      </c>
      <c r="BD300" t="inlineStr">
        <is>
          <t>9780674076235</t>
        </is>
      </c>
      <c r="BE300" t="inlineStr">
        <is>
          <t>32285000409143</t>
        </is>
      </c>
      <c r="BF300" t="inlineStr">
        <is>
          <t>893322073</t>
        </is>
      </c>
    </row>
    <row r="301">
      <c r="A301" t="inlineStr">
        <is>
          <t>No</t>
        </is>
      </c>
      <c r="B301" t="inlineStr">
        <is>
          <t>CURAL</t>
        </is>
      </c>
      <c r="C301" t="inlineStr">
        <is>
          <t>SHELVES</t>
        </is>
      </c>
      <c r="D301" t="inlineStr">
        <is>
          <t>PQ4027 .W4</t>
        </is>
      </c>
      <c r="E301" t="inlineStr">
        <is>
          <t>0                      PQ 4027000W  4</t>
        </is>
      </c>
      <c r="F301" t="inlineStr">
        <is>
          <t>A history of literary criticism in the Italian Renaissance.</t>
        </is>
      </c>
      <c r="G301" t="inlineStr">
        <is>
          <t>V.1</t>
        </is>
      </c>
      <c r="H301" t="inlineStr">
        <is>
          <t>Yes</t>
        </is>
      </c>
      <c r="I301" t="inlineStr">
        <is>
          <t>1</t>
        </is>
      </c>
      <c r="J301" t="inlineStr">
        <is>
          <t>No</t>
        </is>
      </c>
      <c r="K301" t="inlineStr">
        <is>
          <t>No</t>
        </is>
      </c>
      <c r="L301" t="inlineStr">
        <is>
          <t>0</t>
        </is>
      </c>
      <c r="M301" t="inlineStr">
        <is>
          <t>Weinberg, Bernard, 1909-1973.</t>
        </is>
      </c>
      <c r="N301" t="inlineStr">
        <is>
          <t>[Chicago] University of Chicago Press [1961]</t>
        </is>
      </c>
      <c r="O301" t="inlineStr">
        <is>
          <t>1961</t>
        </is>
      </c>
      <c r="Q301" t="inlineStr">
        <is>
          <t>eng</t>
        </is>
      </c>
      <c r="R301" t="inlineStr">
        <is>
          <t>ilu</t>
        </is>
      </c>
      <c r="T301" t="inlineStr">
        <is>
          <t xml:space="preserve">PQ </t>
        </is>
      </c>
      <c r="U301" t="n">
        <v>2</v>
      </c>
      <c r="V301" t="n">
        <v>4</v>
      </c>
      <c r="W301" t="inlineStr">
        <is>
          <t>1997-09-15</t>
        </is>
      </c>
      <c r="X301" t="inlineStr">
        <is>
          <t>1997-09-15</t>
        </is>
      </c>
      <c r="Y301" t="inlineStr">
        <is>
          <t>1997-07-29</t>
        </is>
      </c>
      <c r="Z301" t="inlineStr">
        <is>
          <t>1997-07-29</t>
        </is>
      </c>
      <c r="AA301" t="n">
        <v>772</v>
      </c>
      <c r="AB301" t="n">
        <v>660</v>
      </c>
      <c r="AC301" t="n">
        <v>703</v>
      </c>
      <c r="AD301" t="n">
        <v>8</v>
      </c>
      <c r="AE301" t="n">
        <v>8</v>
      </c>
      <c r="AF301" t="n">
        <v>41</v>
      </c>
      <c r="AG301" t="n">
        <v>43</v>
      </c>
      <c r="AH301" t="n">
        <v>14</v>
      </c>
      <c r="AI301" t="n">
        <v>16</v>
      </c>
      <c r="AJ301" t="n">
        <v>10</v>
      </c>
      <c r="AK301" t="n">
        <v>10</v>
      </c>
      <c r="AL301" t="n">
        <v>21</v>
      </c>
      <c r="AM301" t="n">
        <v>22</v>
      </c>
      <c r="AN301" t="n">
        <v>7</v>
      </c>
      <c r="AO301" t="n">
        <v>7</v>
      </c>
      <c r="AP301" t="n">
        <v>0</v>
      </c>
      <c r="AQ301" t="n">
        <v>0</v>
      </c>
      <c r="AR301" t="inlineStr">
        <is>
          <t>Yes</t>
        </is>
      </c>
      <c r="AS301" t="inlineStr">
        <is>
          <t>No</t>
        </is>
      </c>
      <c r="AT301">
        <f>HYPERLINK("http://catalog.hathitrust.org/Record/007122362","HathiTrust Record")</f>
        <v/>
      </c>
      <c r="AU301">
        <f>HYPERLINK("https://creighton-primo.hosted.exlibrisgroup.com/primo-explore/search?tab=default_tab&amp;search_scope=EVERYTHING&amp;vid=01CRU&amp;lang=en_US&amp;offset=0&amp;query=any,contains,991002423509702656","Catalog Record")</f>
        <v/>
      </c>
      <c r="AV301">
        <f>HYPERLINK("http://www.worldcat.org/oclc/343862","WorldCat Record")</f>
        <v/>
      </c>
      <c r="AW301" t="inlineStr">
        <is>
          <t>1487159:eng</t>
        </is>
      </c>
      <c r="AX301" t="inlineStr">
        <is>
          <t>343862</t>
        </is>
      </c>
      <c r="AY301" t="inlineStr">
        <is>
          <t>991002423509702656</t>
        </is>
      </c>
      <c r="AZ301" t="inlineStr">
        <is>
          <t>991002423509702656</t>
        </is>
      </c>
      <c r="BA301" t="inlineStr">
        <is>
          <t>2264740470002656</t>
        </is>
      </c>
      <c r="BB301" t="inlineStr">
        <is>
          <t>BOOK</t>
        </is>
      </c>
      <c r="BE301" t="inlineStr">
        <is>
          <t>32285002797800</t>
        </is>
      </c>
      <c r="BF301" t="inlineStr">
        <is>
          <t>893798569</t>
        </is>
      </c>
    </row>
    <row r="302">
      <c r="A302" t="inlineStr">
        <is>
          <t>No</t>
        </is>
      </c>
      <c r="B302" t="inlineStr">
        <is>
          <t>CURAL</t>
        </is>
      </c>
      <c r="C302" t="inlineStr">
        <is>
          <t>SHELVES</t>
        </is>
      </c>
      <c r="D302" t="inlineStr">
        <is>
          <t>PQ4027 .W4</t>
        </is>
      </c>
      <c r="E302" t="inlineStr">
        <is>
          <t>0                      PQ 4027000W  4</t>
        </is>
      </c>
      <c r="F302" t="inlineStr">
        <is>
          <t>A history of literary criticism in the Italian Renaissance.</t>
        </is>
      </c>
      <c r="G302" t="inlineStr">
        <is>
          <t>V.2</t>
        </is>
      </c>
      <c r="H302" t="inlineStr">
        <is>
          <t>Yes</t>
        </is>
      </c>
      <c r="I302" t="inlineStr">
        <is>
          <t>1</t>
        </is>
      </c>
      <c r="J302" t="inlineStr">
        <is>
          <t>No</t>
        </is>
      </c>
      <c r="K302" t="inlineStr">
        <is>
          <t>No</t>
        </is>
      </c>
      <c r="L302" t="inlineStr">
        <is>
          <t>0</t>
        </is>
      </c>
      <c r="M302" t="inlineStr">
        <is>
          <t>Weinberg, Bernard, 1909-1973.</t>
        </is>
      </c>
      <c r="N302" t="inlineStr">
        <is>
          <t>[Chicago] University of Chicago Press [1961]</t>
        </is>
      </c>
      <c r="O302" t="inlineStr">
        <is>
          <t>1961</t>
        </is>
      </c>
      <c r="Q302" t="inlineStr">
        <is>
          <t>eng</t>
        </is>
      </c>
      <c r="R302" t="inlineStr">
        <is>
          <t>ilu</t>
        </is>
      </c>
      <c r="T302" t="inlineStr">
        <is>
          <t xml:space="preserve">PQ </t>
        </is>
      </c>
      <c r="U302" t="n">
        <v>2</v>
      </c>
      <c r="V302" t="n">
        <v>4</v>
      </c>
      <c r="W302" t="inlineStr">
        <is>
          <t>1997-09-15</t>
        </is>
      </c>
      <c r="X302" t="inlineStr">
        <is>
          <t>1997-09-15</t>
        </is>
      </c>
      <c r="Y302" t="inlineStr">
        <is>
          <t>1997-07-29</t>
        </is>
      </c>
      <c r="Z302" t="inlineStr">
        <is>
          <t>1997-07-29</t>
        </is>
      </c>
      <c r="AA302" t="n">
        <v>772</v>
      </c>
      <c r="AB302" t="n">
        <v>660</v>
      </c>
      <c r="AC302" t="n">
        <v>703</v>
      </c>
      <c r="AD302" t="n">
        <v>8</v>
      </c>
      <c r="AE302" t="n">
        <v>8</v>
      </c>
      <c r="AF302" t="n">
        <v>41</v>
      </c>
      <c r="AG302" t="n">
        <v>43</v>
      </c>
      <c r="AH302" t="n">
        <v>14</v>
      </c>
      <c r="AI302" t="n">
        <v>16</v>
      </c>
      <c r="AJ302" t="n">
        <v>10</v>
      </c>
      <c r="AK302" t="n">
        <v>10</v>
      </c>
      <c r="AL302" t="n">
        <v>21</v>
      </c>
      <c r="AM302" t="n">
        <v>22</v>
      </c>
      <c r="AN302" t="n">
        <v>7</v>
      </c>
      <c r="AO302" t="n">
        <v>7</v>
      </c>
      <c r="AP302" t="n">
        <v>0</v>
      </c>
      <c r="AQ302" t="n">
        <v>0</v>
      </c>
      <c r="AR302" t="inlineStr">
        <is>
          <t>Yes</t>
        </is>
      </c>
      <c r="AS302" t="inlineStr">
        <is>
          <t>No</t>
        </is>
      </c>
      <c r="AT302">
        <f>HYPERLINK("http://catalog.hathitrust.org/Record/007122362","HathiTrust Record")</f>
        <v/>
      </c>
      <c r="AU302">
        <f>HYPERLINK("https://creighton-primo.hosted.exlibrisgroup.com/primo-explore/search?tab=default_tab&amp;search_scope=EVERYTHING&amp;vid=01CRU&amp;lang=en_US&amp;offset=0&amp;query=any,contains,991002423509702656","Catalog Record")</f>
        <v/>
      </c>
      <c r="AV302">
        <f>HYPERLINK("http://www.worldcat.org/oclc/343862","WorldCat Record")</f>
        <v/>
      </c>
      <c r="AW302" t="inlineStr">
        <is>
          <t>1487159:eng</t>
        </is>
      </c>
      <c r="AX302" t="inlineStr">
        <is>
          <t>343862</t>
        </is>
      </c>
      <c r="AY302" t="inlineStr">
        <is>
          <t>991002423509702656</t>
        </is>
      </c>
      <c r="AZ302" t="inlineStr">
        <is>
          <t>991002423509702656</t>
        </is>
      </c>
      <c r="BA302" t="inlineStr">
        <is>
          <t>2264740470002656</t>
        </is>
      </c>
      <c r="BB302" t="inlineStr">
        <is>
          <t>BOOK</t>
        </is>
      </c>
      <c r="BE302" t="inlineStr">
        <is>
          <t>32285002797818</t>
        </is>
      </c>
      <c r="BF302" t="inlineStr">
        <is>
          <t>893798570</t>
        </is>
      </c>
    </row>
    <row r="303">
      <c r="A303" t="inlineStr">
        <is>
          <t>No</t>
        </is>
      </c>
      <c r="B303" t="inlineStr">
        <is>
          <t>CURAL</t>
        </is>
      </c>
      <c r="C303" t="inlineStr">
        <is>
          <t>SHELVES</t>
        </is>
      </c>
      <c r="D303" t="inlineStr">
        <is>
          <t>PQ4066 .V58 2000</t>
        </is>
      </c>
      <c r="E303" t="inlineStr">
        <is>
          <t>0                      PQ 4066000V  58          2000</t>
        </is>
      </c>
      <c r="F303" t="inlineStr">
        <is>
          <t>The chivalric epic in medieval Italy / Juliann Vitullo.</t>
        </is>
      </c>
      <c r="H303" t="inlineStr">
        <is>
          <t>No</t>
        </is>
      </c>
      <c r="I303" t="inlineStr">
        <is>
          <t>1</t>
        </is>
      </c>
      <c r="J303" t="inlineStr">
        <is>
          <t>No</t>
        </is>
      </c>
      <c r="K303" t="inlineStr">
        <is>
          <t>No</t>
        </is>
      </c>
      <c r="L303" t="inlineStr">
        <is>
          <t>0</t>
        </is>
      </c>
      <c r="M303" t="inlineStr">
        <is>
          <t>Vitullo, Juliann M.</t>
        </is>
      </c>
      <c r="N303" t="inlineStr">
        <is>
          <t>Gainesville : University Press of Florida, c2000.</t>
        </is>
      </c>
      <c r="O303" t="inlineStr">
        <is>
          <t>2000</t>
        </is>
      </c>
      <c r="Q303" t="inlineStr">
        <is>
          <t>eng</t>
        </is>
      </c>
      <c r="R303" t="inlineStr">
        <is>
          <t>flu</t>
        </is>
      </c>
      <c r="T303" t="inlineStr">
        <is>
          <t xml:space="preserve">PQ </t>
        </is>
      </c>
      <c r="U303" t="n">
        <v>1</v>
      </c>
      <c r="V303" t="n">
        <v>1</v>
      </c>
      <c r="W303" t="inlineStr">
        <is>
          <t>2002-06-05</t>
        </is>
      </c>
      <c r="X303" t="inlineStr">
        <is>
          <t>2002-06-05</t>
        </is>
      </c>
      <c r="Y303" t="inlineStr">
        <is>
          <t>2002-06-03</t>
        </is>
      </c>
      <c r="Z303" t="inlineStr">
        <is>
          <t>2002-06-03</t>
        </is>
      </c>
      <c r="AA303" t="n">
        <v>220</v>
      </c>
      <c r="AB303" t="n">
        <v>185</v>
      </c>
      <c r="AC303" t="n">
        <v>185</v>
      </c>
      <c r="AD303" t="n">
        <v>3</v>
      </c>
      <c r="AE303" t="n">
        <v>3</v>
      </c>
      <c r="AF303" t="n">
        <v>12</v>
      </c>
      <c r="AG303" t="n">
        <v>12</v>
      </c>
      <c r="AH303" t="n">
        <v>2</v>
      </c>
      <c r="AI303" t="n">
        <v>2</v>
      </c>
      <c r="AJ303" t="n">
        <v>5</v>
      </c>
      <c r="AK303" t="n">
        <v>5</v>
      </c>
      <c r="AL303" t="n">
        <v>7</v>
      </c>
      <c r="AM303" t="n">
        <v>7</v>
      </c>
      <c r="AN303" t="n">
        <v>2</v>
      </c>
      <c r="AO303" t="n">
        <v>2</v>
      </c>
      <c r="AP303" t="n">
        <v>0</v>
      </c>
      <c r="AQ303" t="n">
        <v>0</v>
      </c>
      <c r="AR303" t="inlineStr">
        <is>
          <t>No</t>
        </is>
      </c>
      <c r="AS303" t="inlineStr">
        <is>
          <t>No</t>
        </is>
      </c>
      <c r="AU303">
        <f>HYPERLINK("https://creighton-primo.hosted.exlibrisgroup.com/primo-explore/search?tab=default_tab&amp;search_scope=EVERYTHING&amp;vid=01CRU&amp;lang=en_US&amp;offset=0&amp;query=any,contains,991003792019702656","Catalog Record")</f>
        <v/>
      </c>
      <c r="AV303">
        <f>HYPERLINK("http://www.worldcat.org/oclc/44972210","WorldCat Record")</f>
        <v/>
      </c>
      <c r="AW303" t="inlineStr">
        <is>
          <t>34702622:eng</t>
        </is>
      </c>
      <c r="AX303" t="inlineStr">
        <is>
          <t>44972210</t>
        </is>
      </c>
      <c r="AY303" t="inlineStr">
        <is>
          <t>991003792019702656</t>
        </is>
      </c>
      <c r="AZ303" t="inlineStr">
        <is>
          <t>991003792019702656</t>
        </is>
      </c>
      <c r="BA303" t="inlineStr">
        <is>
          <t>2270385940002656</t>
        </is>
      </c>
      <c r="BB303" t="inlineStr">
        <is>
          <t>BOOK</t>
        </is>
      </c>
      <c r="BD303" t="inlineStr">
        <is>
          <t>9780813018157</t>
        </is>
      </c>
      <c r="BE303" t="inlineStr">
        <is>
          <t>32285004490834</t>
        </is>
      </c>
      <c r="BF303" t="inlineStr">
        <is>
          <t>893693159</t>
        </is>
      </c>
    </row>
    <row r="304">
      <c r="A304" t="inlineStr">
        <is>
          <t>No</t>
        </is>
      </c>
      <c r="B304" t="inlineStr">
        <is>
          <t>CURAL</t>
        </is>
      </c>
      <c r="C304" t="inlineStr">
        <is>
          <t>SHELVES</t>
        </is>
      </c>
      <c r="D304" t="inlineStr">
        <is>
          <t>PQ4085 .S28</t>
        </is>
      </c>
      <c r="E304" t="inlineStr">
        <is>
          <t>0                      PQ 4085000S  28</t>
        </is>
      </c>
      <c r="F304" t="inlineStr">
        <is>
          <t>La letteratura italiana nel secolo XIX.</t>
        </is>
      </c>
      <c r="G304" t="inlineStr">
        <is>
          <t>V.2</t>
        </is>
      </c>
      <c r="H304" t="inlineStr">
        <is>
          <t>Yes</t>
        </is>
      </c>
      <c r="I304" t="inlineStr">
        <is>
          <t>1</t>
        </is>
      </c>
      <c r="J304" t="inlineStr">
        <is>
          <t>No</t>
        </is>
      </c>
      <c r="K304" t="inlineStr">
        <is>
          <t>No</t>
        </is>
      </c>
      <c r="L304" t="inlineStr">
        <is>
          <t>0</t>
        </is>
      </c>
      <c r="M304" t="inlineStr">
        <is>
          <t>De Sanctis, Francesco, 1817-1883.</t>
        </is>
      </c>
      <c r="N304" t="inlineStr">
        <is>
          <t>Bari : Laterza, 1953.</t>
        </is>
      </c>
      <c r="O304" t="inlineStr">
        <is>
          <t>1953</t>
        </is>
      </c>
      <c r="Q304" t="inlineStr">
        <is>
          <t>ita</t>
        </is>
      </c>
      <c r="R304" t="inlineStr">
        <is>
          <t xml:space="preserve">it </t>
        </is>
      </c>
      <c r="S304" t="inlineStr">
        <is>
          <t>Opere ; 6-8</t>
        </is>
      </c>
      <c r="T304" t="inlineStr">
        <is>
          <t xml:space="preserve">PQ </t>
        </is>
      </c>
      <c r="U304" t="n">
        <v>5</v>
      </c>
      <c r="V304" t="n">
        <v>15</v>
      </c>
      <c r="W304" t="inlineStr">
        <is>
          <t>2005-04-12</t>
        </is>
      </c>
      <c r="X304" t="inlineStr">
        <is>
          <t>2005-04-12</t>
        </is>
      </c>
      <c r="Y304" t="inlineStr">
        <is>
          <t>1998-01-07</t>
        </is>
      </c>
      <c r="Z304" t="inlineStr">
        <is>
          <t>1998-01-07</t>
        </is>
      </c>
      <c r="AA304" t="n">
        <v>126</v>
      </c>
      <c r="AB304" t="n">
        <v>93</v>
      </c>
      <c r="AC304" t="n">
        <v>96</v>
      </c>
      <c r="AD304" t="n">
        <v>1</v>
      </c>
      <c r="AE304" t="n">
        <v>1</v>
      </c>
      <c r="AF304" t="n">
        <v>3</v>
      </c>
      <c r="AG304" t="n">
        <v>3</v>
      </c>
      <c r="AH304" t="n">
        <v>1</v>
      </c>
      <c r="AI304" t="n">
        <v>1</v>
      </c>
      <c r="AJ304" t="n">
        <v>1</v>
      </c>
      <c r="AK304" t="n">
        <v>1</v>
      </c>
      <c r="AL304" t="n">
        <v>2</v>
      </c>
      <c r="AM304" t="n">
        <v>2</v>
      </c>
      <c r="AN304" t="n">
        <v>0</v>
      </c>
      <c r="AO304" t="n">
        <v>0</v>
      </c>
      <c r="AP304" t="n">
        <v>0</v>
      </c>
      <c r="AQ304" t="n">
        <v>0</v>
      </c>
      <c r="AR304" t="inlineStr">
        <is>
          <t>No</t>
        </is>
      </c>
      <c r="AS304" t="inlineStr">
        <is>
          <t>Yes</t>
        </is>
      </c>
      <c r="AT304">
        <f>HYPERLINK("http://catalog.hathitrust.org/Record/001226684","HathiTrust Record")</f>
        <v/>
      </c>
      <c r="AU304">
        <f>HYPERLINK("https://creighton-primo.hosted.exlibrisgroup.com/primo-explore/search?tab=default_tab&amp;search_scope=EVERYTHING&amp;vid=01CRU&amp;lang=en_US&amp;offset=0&amp;query=any,contains,991003460279702656","Catalog Record")</f>
        <v/>
      </c>
      <c r="AV304">
        <f>HYPERLINK("http://www.worldcat.org/oclc/1001370","WorldCat Record")</f>
        <v/>
      </c>
      <c r="AW304" t="inlineStr">
        <is>
          <t>10792130711:ita</t>
        </is>
      </c>
      <c r="AX304" t="inlineStr">
        <is>
          <t>1001370</t>
        </is>
      </c>
      <c r="AY304" t="inlineStr">
        <is>
          <t>991003460279702656</t>
        </is>
      </c>
      <c r="AZ304" t="inlineStr">
        <is>
          <t>991003460279702656</t>
        </is>
      </c>
      <c r="BA304" t="inlineStr">
        <is>
          <t>2259324950002656</t>
        </is>
      </c>
      <c r="BB304" t="inlineStr">
        <is>
          <t>BOOK</t>
        </is>
      </c>
      <c r="BE304" t="inlineStr">
        <is>
          <t>32285003307336</t>
        </is>
      </c>
      <c r="BF304" t="inlineStr">
        <is>
          <t>893705237</t>
        </is>
      </c>
    </row>
    <row r="305">
      <c r="A305" t="inlineStr">
        <is>
          <t>No</t>
        </is>
      </c>
      <c r="B305" t="inlineStr">
        <is>
          <t>CURAL</t>
        </is>
      </c>
      <c r="C305" t="inlineStr">
        <is>
          <t>SHELVES</t>
        </is>
      </c>
      <c r="D305" t="inlineStr">
        <is>
          <t>PQ4085 .S28</t>
        </is>
      </c>
      <c r="E305" t="inlineStr">
        <is>
          <t>0                      PQ 4085000S  28</t>
        </is>
      </c>
      <c r="F305" t="inlineStr">
        <is>
          <t>La letteratura italiana nel secolo XIX.</t>
        </is>
      </c>
      <c r="G305" t="inlineStr">
        <is>
          <t>V.3</t>
        </is>
      </c>
      <c r="H305" t="inlineStr">
        <is>
          <t>Yes</t>
        </is>
      </c>
      <c r="I305" t="inlineStr">
        <is>
          <t>1</t>
        </is>
      </c>
      <c r="J305" t="inlineStr">
        <is>
          <t>No</t>
        </is>
      </c>
      <c r="K305" t="inlineStr">
        <is>
          <t>No</t>
        </is>
      </c>
      <c r="L305" t="inlineStr">
        <is>
          <t>0</t>
        </is>
      </c>
      <c r="M305" t="inlineStr">
        <is>
          <t>De Sanctis, Francesco, 1817-1883.</t>
        </is>
      </c>
      <c r="N305" t="inlineStr">
        <is>
          <t>Bari : Laterza, 1953.</t>
        </is>
      </c>
      <c r="O305" t="inlineStr">
        <is>
          <t>1953</t>
        </is>
      </c>
      <c r="Q305" t="inlineStr">
        <is>
          <t>ita</t>
        </is>
      </c>
      <c r="R305" t="inlineStr">
        <is>
          <t xml:space="preserve">it </t>
        </is>
      </c>
      <c r="S305" t="inlineStr">
        <is>
          <t>Opere ; 6-8</t>
        </is>
      </c>
      <c r="T305" t="inlineStr">
        <is>
          <t xml:space="preserve">PQ </t>
        </is>
      </c>
      <c r="U305" t="n">
        <v>5</v>
      </c>
      <c r="V305" t="n">
        <v>15</v>
      </c>
      <c r="W305" t="inlineStr">
        <is>
          <t>2005-04-12</t>
        </is>
      </c>
      <c r="X305" t="inlineStr">
        <is>
          <t>2005-04-12</t>
        </is>
      </c>
      <c r="Y305" t="inlineStr">
        <is>
          <t>1998-01-07</t>
        </is>
      </c>
      <c r="Z305" t="inlineStr">
        <is>
          <t>1998-01-07</t>
        </is>
      </c>
      <c r="AA305" t="n">
        <v>126</v>
      </c>
      <c r="AB305" t="n">
        <v>93</v>
      </c>
      <c r="AC305" t="n">
        <v>96</v>
      </c>
      <c r="AD305" t="n">
        <v>1</v>
      </c>
      <c r="AE305" t="n">
        <v>1</v>
      </c>
      <c r="AF305" t="n">
        <v>3</v>
      </c>
      <c r="AG305" t="n">
        <v>3</v>
      </c>
      <c r="AH305" t="n">
        <v>1</v>
      </c>
      <c r="AI305" t="n">
        <v>1</v>
      </c>
      <c r="AJ305" t="n">
        <v>1</v>
      </c>
      <c r="AK305" t="n">
        <v>1</v>
      </c>
      <c r="AL305" t="n">
        <v>2</v>
      </c>
      <c r="AM305" t="n">
        <v>2</v>
      </c>
      <c r="AN305" t="n">
        <v>0</v>
      </c>
      <c r="AO305" t="n">
        <v>0</v>
      </c>
      <c r="AP305" t="n">
        <v>0</v>
      </c>
      <c r="AQ305" t="n">
        <v>0</v>
      </c>
      <c r="AR305" t="inlineStr">
        <is>
          <t>No</t>
        </is>
      </c>
      <c r="AS305" t="inlineStr">
        <is>
          <t>Yes</t>
        </is>
      </c>
      <c r="AT305">
        <f>HYPERLINK("http://catalog.hathitrust.org/Record/001226684","HathiTrust Record")</f>
        <v/>
      </c>
      <c r="AU305">
        <f>HYPERLINK("https://creighton-primo.hosted.exlibrisgroup.com/primo-explore/search?tab=default_tab&amp;search_scope=EVERYTHING&amp;vid=01CRU&amp;lang=en_US&amp;offset=0&amp;query=any,contains,991003460279702656","Catalog Record")</f>
        <v/>
      </c>
      <c r="AV305">
        <f>HYPERLINK("http://www.worldcat.org/oclc/1001370","WorldCat Record")</f>
        <v/>
      </c>
      <c r="AW305" t="inlineStr">
        <is>
          <t>10792130711:ita</t>
        </is>
      </c>
      <c r="AX305" t="inlineStr">
        <is>
          <t>1001370</t>
        </is>
      </c>
      <c r="AY305" t="inlineStr">
        <is>
          <t>991003460279702656</t>
        </is>
      </c>
      <c r="AZ305" t="inlineStr">
        <is>
          <t>991003460279702656</t>
        </is>
      </c>
      <c r="BA305" t="inlineStr">
        <is>
          <t>2259324950002656</t>
        </is>
      </c>
      <c r="BB305" t="inlineStr">
        <is>
          <t>BOOK</t>
        </is>
      </c>
      <c r="BE305" t="inlineStr">
        <is>
          <t>32285003307344</t>
        </is>
      </c>
      <c r="BF305" t="inlineStr">
        <is>
          <t>893717670</t>
        </is>
      </c>
    </row>
    <row r="306">
      <c r="A306" t="inlineStr">
        <is>
          <t>No</t>
        </is>
      </c>
      <c r="B306" t="inlineStr">
        <is>
          <t>CURAL</t>
        </is>
      </c>
      <c r="C306" t="inlineStr">
        <is>
          <t>SHELVES</t>
        </is>
      </c>
      <c r="D306" t="inlineStr">
        <is>
          <t>PQ4085 .S28</t>
        </is>
      </c>
      <c r="E306" t="inlineStr">
        <is>
          <t>0                      PQ 4085000S  28</t>
        </is>
      </c>
      <c r="F306" t="inlineStr">
        <is>
          <t>La letteratura italiana nel secolo XIX.</t>
        </is>
      </c>
      <c r="G306" t="inlineStr">
        <is>
          <t>V.1</t>
        </is>
      </c>
      <c r="H306" t="inlineStr">
        <is>
          <t>Yes</t>
        </is>
      </c>
      <c r="I306" t="inlineStr">
        <is>
          <t>1</t>
        </is>
      </c>
      <c r="J306" t="inlineStr">
        <is>
          <t>No</t>
        </is>
      </c>
      <c r="K306" t="inlineStr">
        <is>
          <t>No</t>
        </is>
      </c>
      <c r="L306" t="inlineStr">
        <is>
          <t>0</t>
        </is>
      </c>
      <c r="M306" t="inlineStr">
        <is>
          <t>De Sanctis, Francesco, 1817-1883.</t>
        </is>
      </c>
      <c r="N306" t="inlineStr">
        <is>
          <t>Bari : Laterza, 1953.</t>
        </is>
      </c>
      <c r="O306" t="inlineStr">
        <is>
          <t>1953</t>
        </is>
      </c>
      <c r="Q306" t="inlineStr">
        <is>
          <t>ita</t>
        </is>
      </c>
      <c r="R306" t="inlineStr">
        <is>
          <t xml:space="preserve">it </t>
        </is>
      </c>
      <c r="S306" t="inlineStr">
        <is>
          <t>Opere ; 6-8</t>
        </is>
      </c>
      <c r="T306" t="inlineStr">
        <is>
          <t xml:space="preserve">PQ </t>
        </is>
      </c>
      <c r="U306" t="n">
        <v>5</v>
      </c>
      <c r="V306" t="n">
        <v>15</v>
      </c>
      <c r="W306" t="inlineStr">
        <is>
          <t>2005-04-12</t>
        </is>
      </c>
      <c r="X306" t="inlineStr">
        <is>
          <t>2005-04-12</t>
        </is>
      </c>
      <c r="Y306" t="inlineStr">
        <is>
          <t>1998-01-07</t>
        </is>
      </c>
      <c r="Z306" t="inlineStr">
        <is>
          <t>1998-01-07</t>
        </is>
      </c>
      <c r="AA306" t="n">
        <v>126</v>
      </c>
      <c r="AB306" t="n">
        <v>93</v>
      </c>
      <c r="AC306" t="n">
        <v>96</v>
      </c>
      <c r="AD306" t="n">
        <v>1</v>
      </c>
      <c r="AE306" t="n">
        <v>1</v>
      </c>
      <c r="AF306" t="n">
        <v>3</v>
      </c>
      <c r="AG306" t="n">
        <v>3</v>
      </c>
      <c r="AH306" t="n">
        <v>1</v>
      </c>
      <c r="AI306" t="n">
        <v>1</v>
      </c>
      <c r="AJ306" t="n">
        <v>1</v>
      </c>
      <c r="AK306" t="n">
        <v>1</v>
      </c>
      <c r="AL306" t="n">
        <v>2</v>
      </c>
      <c r="AM306" t="n">
        <v>2</v>
      </c>
      <c r="AN306" t="n">
        <v>0</v>
      </c>
      <c r="AO306" t="n">
        <v>0</v>
      </c>
      <c r="AP306" t="n">
        <v>0</v>
      </c>
      <c r="AQ306" t="n">
        <v>0</v>
      </c>
      <c r="AR306" t="inlineStr">
        <is>
          <t>No</t>
        </is>
      </c>
      <c r="AS306" t="inlineStr">
        <is>
          <t>Yes</t>
        </is>
      </c>
      <c r="AT306">
        <f>HYPERLINK("http://catalog.hathitrust.org/Record/001226684","HathiTrust Record")</f>
        <v/>
      </c>
      <c r="AU306">
        <f>HYPERLINK("https://creighton-primo.hosted.exlibrisgroup.com/primo-explore/search?tab=default_tab&amp;search_scope=EVERYTHING&amp;vid=01CRU&amp;lang=en_US&amp;offset=0&amp;query=any,contains,991003460279702656","Catalog Record")</f>
        <v/>
      </c>
      <c r="AV306">
        <f>HYPERLINK("http://www.worldcat.org/oclc/1001370","WorldCat Record")</f>
        <v/>
      </c>
      <c r="AW306" t="inlineStr">
        <is>
          <t>10792130711:ita</t>
        </is>
      </c>
      <c r="AX306" t="inlineStr">
        <is>
          <t>1001370</t>
        </is>
      </c>
      <c r="AY306" t="inlineStr">
        <is>
          <t>991003460279702656</t>
        </is>
      </c>
      <c r="AZ306" t="inlineStr">
        <is>
          <t>991003460279702656</t>
        </is>
      </c>
      <c r="BA306" t="inlineStr">
        <is>
          <t>2259324950002656</t>
        </is>
      </c>
      <c r="BB306" t="inlineStr">
        <is>
          <t>BOOK</t>
        </is>
      </c>
      <c r="BE306" t="inlineStr">
        <is>
          <t>32285003307328</t>
        </is>
      </c>
      <c r="BF306" t="inlineStr">
        <is>
          <t>893711383</t>
        </is>
      </c>
    </row>
    <row r="307">
      <c r="A307" t="inlineStr">
        <is>
          <t>No</t>
        </is>
      </c>
      <c r="B307" t="inlineStr">
        <is>
          <t>CURAL</t>
        </is>
      </c>
      <c r="C307" t="inlineStr">
        <is>
          <t>SHELVES</t>
        </is>
      </c>
      <c r="D307" t="inlineStr">
        <is>
          <t>PQ4088 .K57 2000</t>
        </is>
      </c>
      <c r="E307" t="inlineStr">
        <is>
          <t>0                      PQ 4088000K  57          2000</t>
        </is>
      </c>
      <c r="F307" t="inlineStr">
        <is>
          <t>Secret of the muses retold : classical influences on Italian authors of the twentieth century / John T. Kirby.</t>
        </is>
      </c>
      <c r="H307" t="inlineStr">
        <is>
          <t>No</t>
        </is>
      </c>
      <c r="I307" t="inlineStr">
        <is>
          <t>1</t>
        </is>
      </c>
      <c r="J307" t="inlineStr">
        <is>
          <t>No</t>
        </is>
      </c>
      <c r="K307" t="inlineStr">
        <is>
          <t>No</t>
        </is>
      </c>
      <c r="L307" t="inlineStr">
        <is>
          <t>0</t>
        </is>
      </c>
      <c r="M307" t="inlineStr">
        <is>
          <t>Kirby, John T.</t>
        </is>
      </c>
      <c r="N307" t="inlineStr">
        <is>
          <t>Chicago : University of Chicago Press, 2000.</t>
        </is>
      </c>
      <c r="O307" t="inlineStr">
        <is>
          <t>2000</t>
        </is>
      </c>
      <c r="Q307" t="inlineStr">
        <is>
          <t>eng</t>
        </is>
      </c>
      <c r="R307" t="inlineStr">
        <is>
          <t>ilu</t>
        </is>
      </c>
      <c r="T307" t="inlineStr">
        <is>
          <t xml:space="preserve">PQ </t>
        </is>
      </c>
      <c r="U307" t="n">
        <v>1</v>
      </c>
      <c r="V307" t="n">
        <v>1</v>
      </c>
      <c r="W307" t="inlineStr">
        <is>
          <t>2002-07-18</t>
        </is>
      </c>
      <c r="X307" t="inlineStr">
        <is>
          <t>2002-07-18</t>
        </is>
      </c>
      <c r="Y307" t="inlineStr">
        <is>
          <t>2002-07-16</t>
        </is>
      </c>
      <c r="Z307" t="inlineStr">
        <is>
          <t>2002-07-16</t>
        </is>
      </c>
      <c r="AA307" t="n">
        <v>346</v>
      </c>
      <c r="AB307" t="n">
        <v>284</v>
      </c>
      <c r="AC307" t="n">
        <v>284</v>
      </c>
      <c r="AD307" t="n">
        <v>3</v>
      </c>
      <c r="AE307" t="n">
        <v>3</v>
      </c>
      <c r="AF307" t="n">
        <v>18</v>
      </c>
      <c r="AG307" t="n">
        <v>18</v>
      </c>
      <c r="AH307" t="n">
        <v>9</v>
      </c>
      <c r="AI307" t="n">
        <v>9</v>
      </c>
      <c r="AJ307" t="n">
        <v>5</v>
      </c>
      <c r="AK307" t="n">
        <v>5</v>
      </c>
      <c r="AL307" t="n">
        <v>10</v>
      </c>
      <c r="AM307" t="n">
        <v>10</v>
      </c>
      <c r="AN307" t="n">
        <v>2</v>
      </c>
      <c r="AO307" t="n">
        <v>2</v>
      </c>
      <c r="AP307" t="n">
        <v>0</v>
      </c>
      <c r="AQ307" t="n">
        <v>0</v>
      </c>
      <c r="AR307" t="inlineStr">
        <is>
          <t>No</t>
        </is>
      </c>
      <c r="AS307" t="inlineStr">
        <is>
          <t>No</t>
        </is>
      </c>
      <c r="AU307">
        <f>HYPERLINK("https://creighton-primo.hosted.exlibrisgroup.com/primo-explore/search?tab=default_tab&amp;search_scope=EVERYTHING&amp;vid=01CRU&amp;lang=en_US&amp;offset=0&amp;query=any,contains,991003824369702656","Catalog Record")</f>
        <v/>
      </c>
      <c r="AV307">
        <f>HYPERLINK("http://www.worldcat.org/oclc/43913115","WorldCat Record")</f>
        <v/>
      </c>
      <c r="AW307" t="inlineStr">
        <is>
          <t>340996537:eng</t>
        </is>
      </c>
      <c r="AX307" t="inlineStr">
        <is>
          <t>43913115</t>
        </is>
      </c>
      <c r="AY307" t="inlineStr">
        <is>
          <t>991003824369702656</t>
        </is>
      </c>
      <c r="AZ307" t="inlineStr">
        <is>
          <t>991003824369702656</t>
        </is>
      </c>
      <c r="BA307" t="inlineStr">
        <is>
          <t>2263973870002656</t>
        </is>
      </c>
      <c r="BB307" t="inlineStr">
        <is>
          <t>BOOK</t>
        </is>
      </c>
      <c r="BD307" t="inlineStr">
        <is>
          <t>9780226437477</t>
        </is>
      </c>
      <c r="BE307" t="inlineStr">
        <is>
          <t>32285004498225</t>
        </is>
      </c>
      <c r="BF307" t="inlineStr">
        <is>
          <t>893775233</t>
        </is>
      </c>
    </row>
    <row r="308">
      <c r="A308" t="inlineStr">
        <is>
          <t>No</t>
        </is>
      </c>
      <c r="B308" t="inlineStr">
        <is>
          <t>CURAL</t>
        </is>
      </c>
      <c r="C308" t="inlineStr">
        <is>
          <t>SHELVES</t>
        </is>
      </c>
      <c r="D308" t="inlineStr">
        <is>
          <t>PQ41 .B67</t>
        </is>
      </c>
      <c r="E308" t="inlineStr">
        <is>
          <t>0                      PQ 0041000B  67</t>
        </is>
      </c>
      <c r="F308" t="inlineStr">
        <is>
          <t>Dictionnaire des oeuvres et des thèmes de la littérature française.</t>
        </is>
      </c>
      <c r="H308" t="inlineStr">
        <is>
          <t>No</t>
        </is>
      </c>
      <c r="I308" t="inlineStr">
        <is>
          <t>1</t>
        </is>
      </c>
      <c r="J308" t="inlineStr">
        <is>
          <t>No</t>
        </is>
      </c>
      <c r="K308" t="inlineStr">
        <is>
          <t>No</t>
        </is>
      </c>
      <c r="L308" t="inlineStr">
        <is>
          <t>0</t>
        </is>
      </c>
      <c r="M308" t="inlineStr">
        <is>
          <t>Bouty, Michel.</t>
        </is>
      </c>
      <c r="N308" t="inlineStr">
        <is>
          <t>[Paris, Hachette, 1972]</t>
        </is>
      </c>
      <c r="O308" t="inlineStr">
        <is>
          <t>1972</t>
        </is>
      </c>
      <c r="Q308" t="inlineStr">
        <is>
          <t>fre</t>
        </is>
      </c>
      <c r="R308" t="inlineStr">
        <is>
          <t xml:space="preserve">xx </t>
        </is>
      </c>
      <c r="S308" t="inlineStr">
        <is>
          <t>Classiques Hachette</t>
        </is>
      </c>
      <c r="T308" t="inlineStr">
        <is>
          <t xml:space="preserve">PQ </t>
        </is>
      </c>
      <c r="U308" t="n">
        <v>2</v>
      </c>
      <c r="V308" t="n">
        <v>2</v>
      </c>
      <c r="W308" t="inlineStr">
        <is>
          <t>1999-01-12</t>
        </is>
      </c>
      <c r="X308" t="inlineStr">
        <is>
          <t>1999-01-12</t>
        </is>
      </c>
      <c r="Y308" t="inlineStr">
        <is>
          <t>1997-04-28</t>
        </is>
      </c>
      <c r="Z308" t="inlineStr">
        <is>
          <t>1997-04-28</t>
        </is>
      </c>
      <c r="AA308" t="n">
        <v>117</v>
      </c>
      <c r="AB308" t="n">
        <v>61</v>
      </c>
      <c r="AC308" t="n">
        <v>133</v>
      </c>
      <c r="AD308" t="n">
        <v>1</v>
      </c>
      <c r="AE308" t="n">
        <v>2</v>
      </c>
      <c r="AF308" t="n">
        <v>2</v>
      </c>
      <c r="AG308" t="n">
        <v>6</v>
      </c>
      <c r="AH308" t="n">
        <v>1</v>
      </c>
      <c r="AI308" t="n">
        <v>1</v>
      </c>
      <c r="AJ308" t="n">
        <v>0</v>
      </c>
      <c r="AK308" t="n">
        <v>2</v>
      </c>
      <c r="AL308" t="n">
        <v>2</v>
      </c>
      <c r="AM308" t="n">
        <v>4</v>
      </c>
      <c r="AN308" t="n">
        <v>0</v>
      </c>
      <c r="AO308" t="n">
        <v>1</v>
      </c>
      <c r="AP308" t="n">
        <v>0</v>
      </c>
      <c r="AQ308" t="n">
        <v>0</v>
      </c>
      <c r="AR308" t="inlineStr">
        <is>
          <t>No</t>
        </is>
      </c>
      <c r="AS308" t="inlineStr">
        <is>
          <t>Yes</t>
        </is>
      </c>
      <c r="AT308">
        <f>HYPERLINK("http://catalog.hathitrust.org/Record/102074511","HathiTrust Record")</f>
        <v/>
      </c>
      <c r="AU308">
        <f>HYPERLINK("https://creighton-primo.hosted.exlibrisgroup.com/primo-explore/search?tab=default_tab&amp;search_scope=EVERYTHING&amp;vid=01CRU&amp;lang=en_US&amp;offset=0&amp;query=any,contains,991003285549702656","Catalog Record")</f>
        <v/>
      </c>
      <c r="AV308">
        <f>HYPERLINK("http://www.worldcat.org/oclc/807393","WorldCat Record")</f>
        <v/>
      </c>
      <c r="AW308" t="inlineStr">
        <is>
          <t>1637392:fre</t>
        </is>
      </c>
      <c r="AX308" t="inlineStr">
        <is>
          <t>807393</t>
        </is>
      </c>
      <c r="AY308" t="inlineStr">
        <is>
          <t>991003285549702656</t>
        </is>
      </c>
      <c r="AZ308" t="inlineStr">
        <is>
          <t>991003285549702656</t>
        </is>
      </c>
      <c r="BA308" t="inlineStr">
        <is>
          <t>2268641680002656</t>
        </is>
      </c>
      <c r="BB308" t="inlineStr">
        <is>
          <t>BOOK</t>
        </is>
      </c>
      <c r="BE308" t="inlineStr">
        <is>
          <t>32285002588183</t>
        </is>
      </c>
      <c r="BF308" t="inlineStr">
        <is>
          <t>893698860</t>
        </is>
      </c>
    </row>
    <row r="309">
      <c r="A309" t="inlineStr">
        <is>
          <t>No</t>
        </is>
      </c>
      <c r="B309" t="inlineStr">
        <is>
          <t>CURAL</t>
        </is>
      </c>
      <c r="C309" t="inlineStr">
        <is>
          <t>SHELVES</t>
        </is>
      </c>
      <c r="D309" t="inlineStr">
        <is>
          <t>PQ41 .F67 1993</t>
        </is>
      </c>
      <c r="E309" t="inlineStr">
        <is>
          <t>0                      PQ 0041000F  67          1993</t>
        </is>
      </c>
      <c r="F309" t="inlineStr">
        <is>
          <t>Dictionnaire fondamental du français littéraire / Philippe Forest, Gérard Conio.</t>
        </is>
      </c>
      <c r="H309" t="inlineStr">
        <is>
          <t>No</t>
        </is>
      </c>
      <c r="I309" t="inlineStr">
        <is>
          <t>1</t>
        </is>
      </c>
      <c r="J309" t="inlineStr">
        <is>
          <t>No</t>
        </is>
      </c>
      <c r="K309" t="inlineStr">
        <is>
          <t>No</t>
        </is>
      </c>
      <c r="L309" t="inlineStr">
        <is>
          <t>0</t>
        </is>
      </c>
      <c r="M309" t="inlineStr">
        <is>
          <t>Forest, Philippe.</t>
        </is>
      </c>
      <c r="N309" t="inlineStr">
        <is>
          <t>Paris : Éditions P. Bordas, 1993.</t>
        </is>
      </c>
      <c r="O309" t="inlineStr">
        <is>
          <t>1993</t>
        </is>
      </c>
      <c r="Q309" t="inlineStr">
        <is>
          <t>fre</t>
        </is>
      </c>
      <c r="R309" t="inlineStr">
        <is>
          <t xml:space="preserve">fr </t>
        </is>
      </c>
      <c r="T309" t="inlineStr">
        <is>
          <t xml:space="preserve">PQ </t>
        </is>
      </c>
      <c r="U309" t="n">
        <v>2</v>
      </c>
      <c r="V309" t="n">
        <v>2</v>
      </c>
      <c r="W309" t="inlineStr">
        <is>
          <t>1996-09-13</t>
        </is>
      </c>
      <c r="X309" t="inlineStr">
        <is>
          <t>1996-09-13</t>
        </is>
      </c>
      <c r="Y309" t="inlineStr">
        <is>
          <t>1995-08-30</t>
        </is>
      </c>
      <c r="Z309" t="inlineStr">
        <is>
          <t>1995-08-30</t>
        </is>
      </c>
      <c r="AA309" t="n">
        <v>56</v>
      </c>
      <c r="AB309" t="n">
        <v>29</v>
      </c>
      <c r="AC309" t="n">
        <v>29</v>
      </c>
      <c r="AD309" t="n">
        <v>1</v>
      </c>
      <c r="AE309" t="n">
        <v>1</v>
      </c>
      <c r="AF309" t="n">
        <v>2</v>
      </c>
      <c r="AG309" t="n">
        <v>2</v>
      </c>
      <c r="AH309" t="n">
        <v>1</v>
      </c>
      <c r="AI309" t="n">
        <v>1</v>
      </c>
      <c r="AJ309" t="n">
        <v>0</v>
      </c>
      <c r="AK309" t="n">
        <v>0</v>
      </c>
      <c r="AL309" t="n">
        <v>1</v>
      </c>
      <c r="AM309" t="n">
        <v>1</v>
      </c>
      <c r="AN309" t="n">
        <v>0</v>
      </c>
      <c r="AO309" t="n">
        <v>0</v>
      </c>
      <c r="AP309" t="n">
        <v>0</v>
      </c>
      <c r="AQ309" t="n">
        <v>0</v>
      </c>
      <c r="AR309" t="inlineStr">
        <is>
          <t>No</t>
        </is>
      </c>
      <c r="AS309" t="inlineStr">
        <is>
          <t>No</t>
        </is>
      </c>
      <c r="AU309">
        <f>HYPERLINK("https://creighton-primo.hosted.exlibrisgroup.com/primo-explore/search?tab=default_tab&amp;search_scope=EVERYTHING&amp;vid=01CRU&amp;lang=en_US&amp;offset=0&amp;query=any,contains,991002235729702656","Catalog Record")</f>
        <v/>
      </c>
      <c r="AV309">
        <f>HYPERLINK("http://www.worldcat.org/oclc/28829934","WorldCat Record")</f>
        <v/>
      </c>
      <c r="AW309" t="inlineStr">
        <is>
          <t>20155632:fre</t>
        </is>
      </c>
      <c r="AX309" t="inlineStr">
        <is>
          <t>28829934</t>
        </is>
      </c>
      <c r="AY309" t="inlineStr">
        <is>
          <t>991002235729702656</t>
        </is>
      </c>
      <c r="AZ309" t="inlineStr">
        <is>
          <t>991002235729702656</t>
        </is>
      </c>
      <c r="BA309" t="inlineStr">
        <is>
          <t>2256456050002656</t>
        </is>
      </c>
      <c r="BB309" t="inlineStr">
        <is>
          <t>BOOK</t>
        </is>
      </c>
      <c r="BD309" t="inlineStr">
        <is>
          <t>9782863112441</t>
        </is>
      </c>
      <c r="BE309" t="inlineStr">
        <is>
          <t>32285002091006</t>
        </is>
      </c>
      <c r="BF309" t="inlineStr">
        <is>
          <t>893792204</t>
        </is>
      </c>
    </row>
    <row r="310">
      <c r="A310" t="inlineStr">
        <is>
          <t>No</t>
        </is>
      </c>
      <c r="B310" t="inlineStr">
        <is>
          <t>CURAL</t>
        </is>
      </c>
      <c r="C310" t="inlineStr">
        <is>
          <t>SHELVES</t>
        </is>
      </c>
      <c r="D310" t="inlineStr">
        <is>
          <t>PQ41 .M3 1971</t>
        </is>
      </c>
      <c r="E310" t="inlineStr">
        <is>
          <t>0                      PQ 0041000M  3           1971</t>
        </is>
      </c>
      <c r="F310" t="inlineStr">
        <is>
          <t>Dictionnaire des écrivains français / Jean Malignon.</t>
        </is>
      </c>
      <c r="H310" t="inlineStr">
        <is>
          <t>No</t>
        </is>
      </c>
      <c r="I310" t="inlineStr">
        <is>
          <t>1</t>
        </is>
      </c>
      <c r="J310" t="inlineStr">
        <is>
          <t>No</t>
        </is>
      </c>
      <c r="K310" t="inlineStr">
        <is>
          <t>No</t>
        </is>
      </c>
      <c r="L310" t="inlineStr">
        <is>
          <t>0</t>
        </is>
      </c>
      <c r="M310" t="inlineStr">
        <is>
          <t>Malignon, Jean.</t>
        </is>
      </c>
      <c r="N310" t="inlineStr">
        <is>
          <t>[Paris] : Éditions du Seuil, c1971.</t>
        </is>
      </c>
      <c r="O310" t="inlineStr">
        <is>
          <t>1971</t>
        </is>
      </c>
      <c r="Q310" t="inlineStr">
        <is>
          <t>fre</t>
        </is>
      </c>
      <c r="R310" t="inlineStr">
        <is>
          <t>___</t>
        </is>
      </c>
      <c r="T310" t="inlineStr">
        <is>
          <t xml:space="preserve">PQ </t>
        </is>
      </c>
      <c r="U310" t="n">
        <v>2</v>
      </c>
      <c r="V310" t="n">
        <v>2</v>
      </c>
      <c r="W310" t="inlineStr">
        <is>
          <t>1998-02-23</t>
        </is>
      </c>
      <c r="X310" t="inlineStr">
        <is>
          <t>1998-02-23</t>
        </is>
      </c>
      <c r="Y310" t="inlineStr">
        <is>
          <t>1992-08-03</t>
        </is>
      </c>
      <c r="Z310" t="inlineStr">
        <is>
          <t>1992-08-03</t>
        </is>
      </c>
      <c r="AA310" t="n">
        <v>225</v>
      </c>
      <c r="AB310" t="n">
        <v>186</v>
      </c>
      <c r="AC310" t="n">
        <v>231</v>
      </c>
      <c r="AD310" t="n">
        <v>3</v>
      </c>
      <c r="AE310" t="n">
        <v>3</v>
      </c>
      <c r="AF310" t="n">
        <v>10</v>
      </c>
      <c r="AG310" t="n">
        <v>11</v>
      </c>
      <c r="AH310" t="n">
        <v>5</v>
      </c>
      <c r="AI310" t="n">
        <v>5</v>
      </c>
      <c r="AJ310" t="n">
        <v>2</v>
      </c>
      <c r="AK310" t="n">
        <v>2</v>
      </c>
      <c r="AL310" t="n">
        <v>5</v>
      </c>
      <c r="AM310" t="n">
        <v>6</v>
      </c>
      <c r="AN310" t="n">
        <v>2</v>
      </c>
      <c r="AO310" t="n">
        <v>2</v>
      </c>
      <c r="AP310" t="n">
        <v>0</v>
      </c>
      <c r="AQ310" t="n">
        <v>0</v>
      </c>
      <c r="AR310" t="inlineStr">
        <is>
          <t>No</t>
        </is>
      </c>
      <c r="AS310" t="inlineStr">
        <is>
          <t>Yes</t>
        </is>
      </c>
      <c r="AT310">
        <f>HYPERLINK("http://catalog.hathitrust.org/Record/001202190","HathiTrust Record")</f>
        <v/>
      </c>
      <c r="AU310">
        <f>HYPERLINK("https://creighton-primo.hosted.exlibrisgroup.com/primo-explore/search?tab=default_tab&amp;search_scope=EVERYTHING&amp;vid=01CRU&amp;lang=en_US&amp;offset=0&amp;query=any,contains,991002882679702656","Catalog Record")</f>
        <v/>
      </c>
      <c r="AV310">
        <f>HYPERLINK("http://www.worldcat.org/oclc/506599","WorldCat Record")</f>
        <v/>
      </c>
      <c r="AW310" t="inlineStr">
        <is>
          <t>38071505:fre</t>
        </is>
      </c>
      <c r="AX310" t="inlineStr">
        <is>
          <t>506599</t>
        </is>
      </c>
      <c r="AY310" t="inlineStr">
        <is>
          <t>991002882679702656</t>
        </is>
      </c>
      <c r="AZ310" t="inlineStr">
        <is>
          <t>991002882679702656</t>
        </is>
      </c>
      <c r="BA310" t="inlineStr">
        <is>
          <t>2259706920002656</t>
        </is>
      </c>
      <c r="BB310" t="inlineStr">
        <is>
          <t>BOOK</t>
        </is>
      </c>
      <c r="BE310" t="inlineStr">
        <is>
          <t>32285001250629</t>
        </is>
      </c>
      <c r="BF310" t="inlineStr">
        <is>
          <t>893329670</t>
        </is>
      </c>
    </row>
    <row r="311">
      <c r="A311" t="inlineStr">
        <is>
          <t>No</t>
        </is>
      </c>
      <c r="B311" t="inlineStr">
        <is>
          <t>CURAL</t>
        </is>
      </c>
      <c r="C311" t="inlineStr">
        <is>
          <t>SHELVES</t>
        </is>
      </c>
      <c r="D311" t="inlineStr">
        <is>
          <t>PQ4134 .K4 1964</t>
        </is>
      </c>
      <c r="E311" t="inlineStr">
        <is>
          <t>0                      PQ 4134000K  4           1964</t>
        </is>
      </c>
      <c r="F311" t="inlineStr">
        <is>
          <t>The Italian theatre.</t>
        </is>
      </c>
      <c r="G311" t="inlineStr">
        <is>
          <t>V.2</t>
        </is>
      </c>
      <c r="H311" t="inlineStr">
        <is>
          <t>Yes</t>
        </is>
      </c>
      <c r="I311" t="inlineStr">
        <is>
          <t>1</t>
        </is>
      </c>
      <c r="J311" t="inlineStr">
        <is>
          <t>No</t>
        </is>
      </c>
      <c r="K311" t="inlineStr">
        <is>
          <t>No</t>
        </is>
      </c>
      <c r="L311" t="inlineStr">
        <is>
          <t>0</t>
        </is>
      </c>
      <c r="M311" t="inlineStr">
        <is>
          <t>Kennard, Joseph Spencer, 1859-1944.</t>
        </is>
      </c>
      <c r="N311" t="inlineStr">
        <is>
          <t>New York, B. Blom [1964]</t>
        </is>
      </c>
      <c r="O311" t="inlineStr">
        <is>
          <t>1964</t>
        </is>
      </c>
      <c r="Q311" t="inlineStr">
        <is>
          <t>eng</t>
        </is>
      </c>
      <c r="R311" t="inlineStr">
        <is>
          <t>nyu</t>
        </is>
      </c>
      <c r="T311" t="inlineStr">
        <is>
          <t xml:space="preserve">PQ </t>
        </is>
      </c>
      <c r="U311" t="n">
        <v>3</v>
      </c>
      <c r="V311" t="n">
        <v>7</v>
      </c>
      <c r="W311" t="inlineStr">
        <is>
          <t>1997-10-15</t>
        </is>
      </c>
      <c r="X311" t="inlineStr">
        <is>
          <t>2000-12-13</t>
        </is>
      </c>
      <c r="Y311" t="inlineStr">
        <is>
          <t>1997-07-29</t>
        </is>
      </c>
      <c r="Z311" t="inlineStr">
        <is>
          <t>1997-07-29</t>
        </is>
      </c>
      <c r="AA311" t="n">
        <v>696</v>
      </c>
      <c r="AB311" t="n">
        <v>630</v>
      </c>
      <c r="AC311" t="n">
        <v>884</v>
      </c>
      <c r="AD311" t="n">
        <v>5</v>
      </c>
      <c r="AE311" t="n">
        <v>7</v>
      </c>
      <c r="AF311" t="n">
        <v>29</v>
      </c>
      <c r="AG311" t="n">
        <v>40</v>
      </c>
      <c r="AH311" t="n">
        <v>12</v>
      </c>
      <c r="AI311" t="n">
        <v>17</v>
      </c>
      <c r="AJ311" t="n">
        <v>6</v>
      </c>
      <c r="AK311" t="n">
        <v>9</v>
      </c>
      <c r="AL311" t="n">
        <v>12</v>
      </c>
      <c r="AM311" t="n">
        <v>18</v>
      </c>
      <c r="AN311" t="n">
        <v>4</v>
      </c>
      <c r="AO311" t="n">
        <v>6</v>
      </c>
      <c r="AP311" t="n">
        <v>0</v>
      </c>
      <c r="AQ311" t="n">
        <v>0</v>
      </c>
      <c r="AR311" t="inlineStr">
        <is>
          <t>No</t>
        </is>
      </c>
      <c r="AS311" t="inlineStr">
        <is>
          <t>Yes</t>
        </is>
      </c>
      <c r="AT311">
        <f>HYPERLINK("http://catalog.hathitrust.org/Record/001218366","HathiTrust Record")</f>
        <v/>
      </c>
      <c r="AU311">
        <f>HYPERLINK("https://creighton-primo.hosted.exlibrisgroup.com/primo-explore/search?tab=default_tab&amp;search_scope=EVERYTHING&amp;vid=01CRU&amp;lang=en_US&amp;offset=0&amp;query=any,contains,991002289429702656","Catalog Record")</f>
        <v/>
      </c>
      <c r="AV311">
        <f>HYPERLINK("http://www.worldcat.org/oclc/312540","WorldCat Record")</f>
        <v/>
      </c>
      <c r="AW311" t="inlineStr">
        <is>
          <t>1375619:eng</t>
        </is>
      </c>
      <c r="AX311" t="inlineStr">
        <is>
          <t>312540</t>
        </is>
      </c>
      <c r="AY311" t="inlineStr">
        <is>
          <t>991002289429702656</t>
        </is>
      </c>
      <c r="AZ311" t="inlineStr">
        <is>
          <t>991002289429702656</t>
        </is>
      </c>
      <c r="BA311" t="inlineStr">
        <is>
          <t>2271182350002656</t>
        </is>
      </c>
      <c r="BB311" t="inlineStr">
        <is>
          <t>BOOK</t>
        </is>
      </c>
      <c r="BE311" t="inlineStr">
        <is>
          <t>32285002798048</t>
        </is>
      </c>
      <c r="BF311" t="inlineStr">
        <is>
          <t>893892384</t>
        </is>
      </c>
    </row>
    <row r="312">
      <c r="A312" t="inlineStr">
        <is>
          <t>No</t>
        </is>
      </c>
      <c r="B312" t="inlineStr">
        <is>
          <t>CURAL</t>
        </is>
      </c>
      <c r="C312" t="inlineStr">
        <is>
          <t>SHELVES</t>
        </is>
      </c>
      <c r="D312" t="inlineStr">
        <is>
          <t>PQ4134 .K4 1964</t>
        </is>
      </c>
      <c r="E312" t="inlineStr">
        <is>
          <t>0                      PQ 4134000K  4           1964</t>
        </is>
      </c>
      <c r="F312" t="inlineStr">
        <is>
          <t>The Italian theatre.</t>
        </is>
      </c>
      <c r="G312" t="inlineStr">
        <is>
          <t>V.1</t>
        </is>
      </c>
      <c r="H312" t="inlineStr">
        <is>
          <t>Yes</t>
        </is>
      </c>
      <c r="I312" t="inlineStr">
        <is>
          <t>1</t>
        </is>
      </c>
      <c r="J312" t="inlineStr">
        <is>
          <t>No</t>
        </is>
      </c>
      <c r="K312" t="inlineStr">
        <is>
          <t>No</t>
        </is>
      </c>
      <c r="L312" t="inlineStr">
        <is>
          <t>0</t>
        </is>
      </c>
      <c r="M312" t="inlineStr">
        <is>
          <t>Kennard, Joseph Spencer, 1859-1944.</t>
        </is>
      </c>
      <c r="N312" t="inlineStr">
        <is>
          <t>New York, B. Blom [1964]</t>
        </is>
      </c>
      <c r="O312" t="inlineStr">
        <is>
          <t>1964</t>
        </is>
      </c>
      <c r="Q312" t="inlineStr">
        <is>
          <t>eng</t>
        </is>
      </c>
      <c r="R312" t="inlineStr">
        <is>
          <t>nyu</t>
        </is>
      </c>
      <c r="T312" t="inlineStr">
        <is>
          <t xml:space="preserve">PQ </t>
        </is>
      </c>
      <c r="U312" t="n">
        <v>4</v>
      </c>
      <c r="V312" t="n">
        <v>7</v>
      </c>
      <c r="W312" t="inlineStr">
        <is>
          <t>2000-12-13</t>
        </is>
      </c>
      <c r="X312" t="inlineStr">
        <is>
          <t>2000-12-13</t>
        </is>
      </c>
      <c r="Y312" t="inlineStr">
        <is>
          <t>1997-07-29</t>
        </is>
      </c>
      <c r="Z312" t="inlineStr">
        <is>
          <t>1997-07-29</t>
        </is>
      </c>
      <c r="AA312" t="n">
        <v>696</v>
      </c>
      <c r="AB312" t="n">
        <v>630</v>
      </c>
      <c r="AC312" t="n">
        <v>884</v>
      </c>
      <c r="AD312" t="n">
        <v>5</v>
      </c>
      <c r="AE312" t="n">
        <v>7</v>
      </c>
      <c r="AF312" t="n">
        <v>29</v>
      </c>
      <c r="AG312" t="n">
        <v>40</v>
      </c>
      <c r="AH312" t="n">
        <v>12</v>
      </c>
      <c r="AI312" t="n">
        <v>17</v>
      </c>
      <c r="AJ312" t="n">
        <v>6</v>
      </c>
      <c r="AK312" t="n">
        <v>9</v>
      </c>
      <c r="AL312" t="n">
        <v>12</v>
      </c>
      <c r="AM312" t="n">
        <v>18</v>
      </c>
      <c r="AN312" t="n">
        <v>4</v>
      </c>
      <c r="AO312" t="n">
        <v>6</v>
      </c>
      <c r="AP312" t="n">
        <v>0</v>
      </c>
      <c r="AQ312" t="n">
        <v>0</v>
      </c>
      <c r="AR312" t="inlineStr">
        <is>
          <t>No</t>
        </is>
      </c>
      <c r="AS312" t="inlineStr">
        <is>
          <t>Yes</t>
        </is>
      </c>
      <c r="AT312">
        <f>HYPERLINK("http://catalog.hathitrust.org/Record/001218366","HathiTrust Record")</f>
        <v/>
      </c>
      <c r="AU312">
        <f>HYPERLINK("https://creighton-primo.hosted.exlibrisgroup.com/primo-explore/search?tab=default_tab&amp;search_scope=EVERYTHING&amp;vid=01CRU&amp;lang=en_US&amp;offset=0&amp;query=any,contains,991002289429702656","Catalog Record")</f>
        <v/>
      </c>
      <c r="AV312">
        <f>HYPERLINK("http://www.worldcat.org/oclc/312540","WorldCat Record")</f>
        <v/>
      </c>
      <c r="AW312" t="inlineStr">
        <is>
          <t>1375619:eng</t>
        </is>
      </c>
      <c r="AX312" t="inlineStr">
        <is>
          <t>312540</t>
        </is>
      </c>
      <c r="AY312" t="inlineStr">
        <is>
          <t>991002289429702656</t>
        </is>
      </c>
      <c r="AZ312" t="inlineStr">
        <is>
          <t>991002289429702656</t>
        </is>
      </c>
      <c r="BA312" t="inlineStr">
        <is>
          <t>2271182350002656</t>
        </is>
      </c>
      <c r="BB312" t="inlineStr">
        <is>
          <t>BOOK</t>
        </is>
      </c>
      <c r="BE312" t="inlineStr">
        <is>
          <t>32285002798030</t>
        </is>
      </c>
      <c r="BF312" t="inlineStr">
        <is>
          <t>893879731</t>
        </is>
      </c>
    </row>
    <row r="313">
      <c r="A313" t="inlineStr">
        <is>
          <t>No</t>
        </is>
      </c>
      <c r="B313" t="inlineStr">
        <is>
          <t>CURAL</t>
        </is>
      </c>
      <c r="C313" t="inlineStr">
        <is>
          <t>SHELVES</t>
        </is>
      </c>
      <c r="D313" t="inlineStr">
        <is>
          <t>PQ4149 .H4</t>
        </is>
      </c>
      <c r="E313" t="inlineStr">
        <is>
          <t>0                      PQ 4149000H  4</t>
        </is>
      </c>
      <c r="F313" t="inlineStr">
        <is>
          <t>Italian comedy in the Renaissance.</t>
        </is>
      </c>
      <c r="H313" t="inlineStr">
        <is>
          <t>No</t>
        </is>
      </c>
      <c r="I313" t="inlineStr">
        <is>
          <t>1</t>
        </is>
      </c>
      <c r="J313" t="inlineStr">
        <is>
          <t>No</t>
        </is>
      </c>
      <c r="K313" t="inlineStr">
        <is>
          <t>No</t>
        </is>
      </c>
      <c r="L313" t="inlineStr">
        <is>
          <t>0</t>
        </is>
      </c>
      <c r="M313" t="inlineStr">
        <is>
          <t>Herrick, Marvin T. (Marvin Theodore), 1899-1966.</t>
        </is>
      </c>
      <c r="N313" t="inlineStr">
        <is>
          <t>Urbana, University of Illinois Press, 1960.</t>
        </is>
      </c>
      <c r="O313" t="inlineStr">
        <is>
          <t>1960</t>
        </is>
      </c>
      <c r="Q313" t="inlineStr">
        <is>
          <t>eng</t>
        </is>
      </c>
      <c r="R313" t="inlineStr">
        <is>
          <t>ilu</t>
        </is>
      </c>
      <c r="T313" t="inlineStr">
        <is>
          <t xml:space="preserve">PQ </t>
        </is>
      </c>
      <c r="U313" t="n">
        <v>1</v>
      </c>
      <c r="V313" t="n">
        <v>1</v>
      </c>
      <c r="W313" t="inlineStr">
        <is>
          <t>2001-11-12</t>
        </is>
      </c>
      <c r="X313" t="inlineStr">
        <is>
          <t>2001-11-12</t>
        </is>
      </c>
      <c r="Y313" t="inlineStr">
        <is>
          <t>1997-07-29</t>
        </is>
      </c>
      <c r="Z313" t="inlineStr">
        <is>
          <t>1997-07-29</t>
        </is>
      </c>
      <c r="AA313" t="n">
        <v>861</v>
      </c>
      <c r="AB313" t="n">
        <v>760</v>
      </c>
      <c r="AC313" t="n">
        <v>985</v>
      </c>
      <c r="AD313" t="n">
        <v>8</v>
      </c>
      <c r="AE313" t="n">
        <v>10</v>
      </c>
      <c r="AF313" t="n">
        <v>40</v>
      </c>
      <c r="AG313" t="n">
        <v>49</v>
      </c>
      <c r="AH313" t="n">
        <v>16</v>
      </c>
      <c r="AI313" t="n">
        <v>21</v>
      </c>
      <c r="AJ313" t="n">
        <v>8</v>
      </c>
      <c r="AK313" t="n">
        <v>9</v>
      </c>
      <c r="AL313" t="n">
        <v>19</v>
      </c>
      <c r="AM313" t="n">
        <v>21</v>
      </c>
      <c r="AN313" t="n">
        <v>7</v>
      </c>
      <c r="AO313" t="n">
        <v>9</v>
      </c>
      <c r="AP313" t="n">
        <v>0</v>
      </c>
      <c r="AQ313" t="n">
        <v>0</v>
      </c>
      <c r="AR313" t="inlineStr">
        <is>
          <t>No</t>
        </is>
      </c>
      <c r="AS313" t="inlineStr">
        <is>
          <t>Yes</t>
        </is>
      </c>
      <c r="AT313">
        <f>HYPERLINK("http://catalog.hathitrust.org/Record/001015688","HathiTrust Record")</f>
        <v/>
      </c>
      <c r="AU313">
        <f>HYPERLINK("https://creighton-primo.hosted.exlibrisgroup.com/primo-explore/search?tab=default_tab&amp;search_scope=EVERYTHING&amp;vid=01CRU&amp;lang=en_US&amp;offset=0&amp;query=any,contains,991004027019702656","Catalog Record")</f>
        <v/>
      </c>
      <c r="AV313">
        <f>HYPERLINK("http://www.worldcat.org/oclc/2138809","WorldCat Record")</f>
        <v/>
      </c>
      <c r="AW313" t="inlineStr">
        <is>
          <t>498366:eng</t>
        </is>
      </c>
      <c r="AX313" t="inlineStr">
        <is>
          <t>2138809</t>
        </is>
      </c>
      <c r="AY313" t="inlineStr">
        <is>
          <t>991004027019702656</t>
        </is>
      </c>
      <c r="AZ313" t="inlineStr">
        <is>
          <t>991004027019702656</t>
        </is>
      </c>
      <c r="BA313" t="inlineStr">
        <is>
          <t>2270473250002656</t>
        </is>
      </c>
      <c r="BB313" t="inlineStr">
        <is>
          <t>BOOK</t>
        </is>
      </c>
      <c r="BE313" t="inlineStr">
        <is>
          <t>32285002798055</t>
        </is>
      </c>
      <c r="BF313" t="inlineStr">
        <is>
          <t>893429572</t>
        </is>
      </c>
    </row>
    <row r="314">
      <c r="A314" t="inlineStr">
        <is>
          <t>No</t>
        </is>
      </c>
      <c r="B314" t="inlineStr">
        <is>
          <t>CURAL</t>
        </is>
      </c>
      <c r="C314" t="inlineStr">
        <is>
          <t>SHELVES</t>
        </is>
      </c>
      <c r="D314" t="inlineStr">
        <is>
          <t>PQ4155 .K4</t>
        </is>
      </c>
      <c r="E314" t="inlineStr">
        <is>
          <t>0                      PQ 4155000K  4</t>
        </is>
      </c>
      <c r="F314" t="inlineStr">
        <is>
          <t>Masks and marionettes / by Joseph Spencer Kennard.</t>
        </is>
      </c>
      <c r="H314" t="inlineStr">
        <is>
          <t>No</t>
        </is>
      </c>
      <c r="I314" t="inlineStr">
        <is>
          <t>1</t>
        </is>
      </c>
      <c r="J314" t="inlineStr">
        <is>
          <t>No</t>
        </is>
      </c>
      <c r="K314" t="inlineStr">
        <is>
          <t>No</t>
        </is>
      </c>
      <c r="L314" t="inlineStr">
        <is>
          <t>0</t>
        </is>
      </c>
      <c r="M314" t="inlineStr">
        <is>
          <t>Kennard, Joseph Spencer, 1859-1944.</t>
        </is>
      </c>
      <c r="N314" t="inlineStr">
        <is>
          <t>New York : The Macmillan Company, 1935.</t>
        </is>
      </c>
      <c r="O314" t="inlineStr">
        <is>
          <t>1935</t>
        </is>
      </c>
      <c r="Q314" t="inlineStr">
        <is>
          <t>eng</t>
        </is>
      </c>
      <c r="R314" t="inlineStr">
        <is>
          <t>nyu</t>
        </is>
      </c>
      <c r="T314" t="inlineStr">
        <is>
          <t xml:space="preserve">PQ </t>
        </is>
      </c>
      <c r="U314" t="n">
        <v>15</v>
      </c>
      <c r="V314" t="n">
        <v>15</v>
      </c>
      <c r="W314" t="inlineStr">
        <is>
          <t>2004-11-04</t>
        </is>
      </c>
      <c r="X314" t="inlineStr">
        <is>
          <t>2004-11-04</t>
        </is>
      </c>
      <c r="Y314" t="inlineStr">
        <is>
          <t>1992-05-08</t>
        </is>
      </c>
      <c r="Z314" t="inlineStr">
        <is>
          <t>1992-05-08</t>
        </is>
      </c>
      <c r="AA314" t="n">
        <v>333</v>
      </c>
      <c r="AB314" t="n">
        <v>312</v>
      </c>
      <c r="AC314" t="n">
        <v>556</v>
      </c>
      <c r="AD314" t="n">
        <v>3</v>
      </c>
      <c r="AE314" t="n">
        <v>4</v>
      </c>
      <c r="AF314" t="n">
        <v>15</v>
      </c>
      <c r="AG314" t="n">
        <v>26</v>
      </c>
      <c r="AH314" t="n">
        <v>5</v>
      </c>
      <c r="AI314" t="n">
        <v>11</v>
      </c>
      <c r="AJ314" t="n">
        <v>4</v>
      </c>
      <c r="AK314" t="n">
        <v>4</v>
      </c>
      <c r="AL314" t="n">
        <v>7</v>
      </c>
      <c r="AM314" t="n">
        <v>13</v>
      </c>
      <c r="AN314" t="n">
        <v>2</v>
      </c>
      <c r="AO314" t="n">
        <v>3</v>
      </c>
      <c r="AP314" t="n">
        <v>0</v>
      </c>
      <c r="AQ314" t="n">
        <v>0</v>
      </c>
      <c r="AR314" t="inlineStr">
        <is>
          <t>Yes</t>
        </is>
      </c>
      <c r="AS314" t="inlineStr">
        <is>
          <t>No</t>
        </is>
      </c>
      <c r="AT314">
        <f>HYPERLINK("http://catalog.hathitrust.org/Record/001015691","HathiTrust Record")</f>
        <v/>
      </c>
      <c r="AU314">
        <f>HYPERLINK("https://creighton-primo.hosted.exlibrisgroup.com/primo-explore/search?tab=default_tab&amp;search_scope=EVERYTHING&amp;vid=01CRU&amp;lang=en_US&amp;offset=0&amp;query=any,contains,991004073479702656","Catalog Record")</f>
        <v/>
      </c>
      <c r="AV314">
        <f>HYPERLINK("http://www.worldcat.org/oclc/2311646","WorldCat Record")</f>
        <v/>
      </c>
      <c r="AW314" t="inlineStr">
        <is>
          <t>1722306:eng</t>
        </is>
      </c>
      <c r="AX314" t="inlineStr">
        <is>
          <t>2311646</t>
        </is>
      </c>
      <c r="AY314" t="inlineStr">
        <is>
          <t>991004073479702656</t>
        </is>
      </c>
      <c r="AZ314" t="inlineStr">
        <is>
          <t>991004073479702656</t>
        </is>
      </c>
      <c r="BA314" t="inlineStr">
        <is>
          <t>2258290250002656</t>
        </is>
      </c>
      <c r="BB314" t="inlineStr">
        <is>
          <t>BOOK</t>
        </is>
      </c>
      <c r="BE314" t="inlineStr">
        <is>
          <t>32285001105781</t>
        </is>
      </c>
      <c r="BF314" t="inlineStr">
        <is>
          <t>893411091</t>
        </is>
      </c>
    </row>
    <row r="315">
      <c r="A315" t="inlineStr">
        <is>
          <t>No</t>
        </is>
      </c>
      <c r="B315" t="inlineStr">
        <is>
          <t>CURAL</t>
        </is>
      </c>
      <c r="C315" t="inlineStr">
        <is>
          <t>SHELVES</t>
        </is>
      </c>
      <c r="D315" t="inlineStr">
        <is>
          <t>PQ4155 .L4</t>
        </is>
      </c>
      <c r="E315" t="inlineStr">
        <is>
          <t>0                      PQ 4155000L  4</t>
        </is>
      </c>
      <c r="F315" t="inlineStr">
        <is>
          <t>Italian popular comedy; a study in the commedia dell' arte, 1560-1620, with special reference to the English stage, by K.M. Lea.</t>
        </is>
      </c>
      <c r="G315" t="inlineStr">
        <is>
          <t>V.1</t>
        </is>
      </c>
      <c r="H315" t="inlineStr">
        <is>
          <t>Yes</t>
        </is>
      </c>
      <c r="I315" t="inlineStr">
        <is>
          <t>1</t>
        </is>
      </c>
      <c r="J315" t="inlineStr">
        <is>
          <t>No</t>
        </is>
      </c>
      <c r="K315" t="inlineStr">
        <is>
          <t>No</t>
        </is>
      </c>
      <c r="L315" t="inlineStr">
        <is>
          <t>0</t>
        </is>
      </c>
      <c r="M315" t="inlineStr">
        <is>
          <t>Lea, Kathleen M. (Kathleen Marguerite)</t>
        </is>
      </c>
      <c r="N315" t="inlineStr">
        <is>
          <t>Oxford, The Clarendon press, 1934.</t>
        </is>
      </c>
      <c r="O315" t="inlineStr">
        <is>
          <t>1934</t>
        </is>
      </c>
      <c r="Q315" t="inlineStr">
        <is>
          <t>eng</t>
        </is>
      </c>
      <c r="R315" t="inlineStr">
        <is>
          <t>enk</t>
        </is>
      </c>
      <c r="T315" t="inlineStr">
        <is>
          <t xml:space="preserve">PQ </t>
        </is>
      </c>
      <c r="U315" t="n">
        <v>3</v>
      </c>
      <c r="V315" t="n">
        <v>6</v>
      </c>
      <c r="W315" t="inlineStr">
        <is>
          <t>2003-12-05</t>
        </is>
      </c>
      <c r="X315" t="inlineStr">
        <is>
          <t>2006-11-25</t>
        </is>
      </c>
      <c r="Y315" t="inlineStr">
        <is>
          <t>1997-07-30</t>
        </is>
      </c>
      <c r="Z315" t="inlineStr">
        <is>
          <t>1997-07-30</t>
        </is>
      </c>
      <c r="AA315" t="n">
        <v>184</v>
      </c>
      <c r="AB315" t="n">
        <v>144</v>
      </c>
      <c r="AC315" t="n">
        <v>702</v>
      </c>
      <c r="AD315" t="n">
        <v>2</v>
      </c>
      <c r="AE315" t="n">
        <v>5</v>
      </c>
      <c r="AF315" t="n">
        <v>9</v>
      </c>
      <c r="AG315" t="n">
        <v>31</v>
      </c>
      <c r="AH315" t="n">
        <v>2</v>
      </c>
      <c r="AI315" t="n">
        <v>11</v>
      </c>
      <c r="AJ315" t="n">
        <v>2</v>
      </c>
      <c r="AK315" t="n">
        <v>7</v>
      </c>
      <c r="AL315" t="n">
        <v>6</v>
      </c>
      <c r="AM315" t="n">
        <v>18</v>
      </c>
      <c r="AN315" t="n">
        <v>1</v>
      </c>
      <c r="AO315" t="n">
        <v>4</v>
      </c>
      <c r="AP315" t="n">
        <v>0</v>
      </c>
      <c r="AQ315" t="n">
        <v>0</v>
      </c>
      <c r="AR315" t="inlineStr">
        <is>
          <t>No</t>
        </is>
      </c>
      <c r="AS315" t="inlineStr">
        <is>
          <t>No</t>
        </is>
      </c>
      <c r="AT315">
        <f>HYPERLINK("http://catalog.hathitrust.org/Record/001218367","HathiTrust Record")</f>
        <v/>
      </c>
      <c r="AU315">
        <f>HYPERLINK("https://creighton-primo.hosted.exlibrisgroup.com/primo-explore/search?tab=default_tab&amp;search_scope=EVERYTHING&amp;vid=01CRU&amp;lang=en_US&amp;offset=0&amp;query=any,contains,991003924629702656","Catalog Record")</f>
        <v/>
      </c>
      <c r="AV315">
        <f>HYPERLINK("http://www.worldcat.org/oclc/1879518","WorldCat Record")</f>
        <v/>
      </c>
      <c r="AW315" t="inlineStr">
        <is>
          <t>431985301:eng</t>
        </is>
      </c>
      <c r="AX315" t="inlineStr">
        <is>
          <t>1879518</t>
        </is>
      </c>
      <c r="AY315" t="inlineStr">
        <is>
          <t>991003924629702656</t>
        </is>
      </c>
      <c r="AZ315" t="inlineStr">
        <is>
          <t>991003924629702656</t>
        </is>
      </c>
      <c r="BA315" t="inlineStr">
        <is>
          <t>2258353560002656</t>
        </is>
      </c>
      <c r="BB315" t="inlineStr">
        <is>
          <t>BOOK</t>
        </is>
      </c>
      <c r="BE315" t="inlineStr">
        <is>
          <t>32285002798063</t>
        </is>
      </c>
      <c r="BF315" t="inlineStr">
        <is>
          <t>893410906</t>
        </is>
      </c>
    </row>
    <row r="316">
      <c r="A316" t="inlineStr">
        <is>
          <t>No</t>
        </is>
      </c>
      <c r="B316" t="inlineStr">
        <is>
          <t>CURAL</t>
        </is>
      </c>
      <c r="C316" t="inlineStr">
        <is>
          <t>SHELVES</t>
        </is>
      </c>
      <c r="D316" t="inlineStr">
        <is>
          <t>PQ4155 .S6 1964</t>
        </is>
      </c>
      <c r="E316" t="inlineStr">
        <is>
          <t>0                      PQ 4155000S  6           1964</t>
        </is>
      </c>
      <c r="F316" t="inlineStr">
        <is>
          <t>The commedia dell'arte.</t>
        </is>
      </c>
      <c r="H316" t="inlineStr">
        <is>
          <t>No</t>
        </is>
      </c>
      <c r="I316" t="inlineStr">
        <is>
          <t>1</t>
        </is>
      </c>
      <c r="J316" t="inlineStr">
        <is>
          <t>No</t>
        </is>
      </c>
      <c r="K316" t="inlineStr">
        <is>
          <t>No</t>
        </is>
      </c>
      <c r="L316" t="inlineStr">
        <is>
          <t>0</t>
        </is>
      </c>
      <c r="M316" t="inlineStr">
        <is>
          <t>Smith, Winifred, 1879-</t>
        </is>
      </c>
      <c r="N316" t="inlineStr">
        <is>
          <t>New York : B. Blom, [1964]</t>
        </is>
      </c>
      <c r="O316" t="inlineStr">
        <is>
          <t>1964</t>
        </is>
      </c>
      <c r="Q316" t="inlineStr">
        <is>
          <t>eng</t>
        </is>
      </c>
      <c r="R316" t="inlineStr">
        <is>
          <t xml:space="preserve">xx </t>
        </is>
      </c>
      <c r="T316" t="inlineStr">
        <is>
          <t xml:space="preserve">PQ </t>
        </is>
      </c>
      <c r="U316" t="n">
        <v>10</v>
      </c>
      <c r="V316" t="n">
        <v>10</v>
      </c>
      <c r="W316" t="inlineStr">
        <is>
          <t>2004-11-19</t>
        </is>
      </c>
      <c r="X316" t="inlineStr">
        <is>
          <t>2004-11-19</t>
        </is>
      </c>
      <c r="Y316" t="inlineStr">
        <is>
          <t>1993-05-06</t>
        </is>
      </c>
      <c r="Z316" t="inlineStr">
        <is>
          <t>1993-05-06</t>
        </is>
      </c>
      <c r="AA316" t="n">
        <v>215</v>
      </c>
      <c r="AB316" t="n">
        <v>204</v>
      </c>
      <c r="AC316" t="n">
        <v>948</v>
      </c>
      <c r="AD316" t="n">
        <v>3</v>
      </c>
      <c r="AE316" t="n">
        <v>9</v>
      </c>
      <c r="AF316" t="n">
        <v>6</v>
      </c>
      <c r="AG316" t="n">
        <v>49</v>
      </c>
      <c r="AH316" t="n">
        <v>3</v>
      </c>
      <c r="AI316" t="n">
        <v>24</v>
      </c>
      <c r="AJ316" t="n">
        <v>0</v>
      </c>
      <c r="AK316" t="n">
        <v>9</v>
      </c>
      <c r="AL316" t="n">
        <v>1</v>
      </c>
      <c r="AM316" t="n">
        <v>22</v>
      </c>
      <c r="AN316" t="n">
        <v>2</v>
      </c>
      <c r="AO316" t="n">
        <v>8</v>
      </c>
      <c r="AP316" t="n">
        <v>0</v>
      </c>
      <c r="AQ316" t="n">
        <v>0</v>
      </c>
      <c r="AR316" t="inlineStr">
        <is>
          <t>No</t>
        </is>
      </c>
      <c r="AS316" t="inlineStr">
        <is>
          <t>Yes</t>
        </is>
      </c>
      <c r="AT316">
        <f>HYPERLINK("http://catalog.hathitrust.org/Record/005075257","HathiTrust Record")</f>
        <v/>
      </c>
      <c r="AU316">
        <f>HYPERLINK("https://creighton-primo.hosted.exlibrisgroup.com/primo-explore/search?tab=default_tab&amp;search_scope=EVERYTHING&amp;vid=01CRU&amp;lang=en_US&amp;offset=0&amp;query=any,contains,991002435679702656","Catalog Record")</f>
        <v/>
      </c>
      <c r="AV316">
        <f>HYPERLINK("http://www.worldcat.org/oclc/50119143","WorldCat Record")</f>
        <v/>
      </c>
      <c r="AW316" t="inlineStr">
        <is>
          <t>20062241:eng</t>
        </is>
      </c>
      <c r="AX316" t="inlineStr">
        <is>
          <t>50119143</t>
        </is>
      </c>
      <c r="AY316" t="inlineStr">
        <is>
          <t>991002435679702656</t>
        </is>
      </c>
      <c r="AZ316" t="inlineStr">
        <is>
          <t>991002435679702656</t>
        </is>
      </c>
      <c r="BA316" t="inlineStr">
        <is>
          <t>2271418830002656</t>
        </is>
      </c>
      <c r="BB316" t="inlineStr">
        <is>
          <t>BOOK</t>
        </is>
      </c>
      <c r="BE316" t="inlineStr">
        <is>
          <t>32285001651206</t>
        </is>
      </c>
      <c r="BF316" t="inlineStr">
        <is>
          <t>893239035</t>
        </is>
      </c>
    </row>
    <row r="317">
      <c r="A317" t="inlineStr">
        <is>
          <t>No</t>
        </is>
      </c>
      <c r="B317" t="inlineStr">
        <is>
          <t>CURAL</t>
        </is>
      </c>
      <c r="C317" t="inlineStr">
        <is>
          <t>SHELVES</t>
        </is>
      </c>
      <c r="D317" t="inlineStr">
        <is>
          <t>PQ4174 .R618 1969</t>
        </is>
      </c>
      <c r="E317" t="inlineStr">
        <is>
          <t>0                      PQ 4174000R  618         1969</t>
        </is>
      </c>
      <c r="F317" t="inlineStr">
        <is>
          <t>La novela experimental : Palermo 1965 / Grupo 63</t>
        </is>
      </c>
      <c r="H317" t="inlineStr">
        <is>
          <t>No</t>
        </is>
      </c>
      <c r="I317" t="inlineStr">
        <is>
          <t>1</t>
        </is>
      </c>
      <c r="J317" t="inlineStr">
        <is>
          <t>No</t>
        </is>
      </c>
      <c r="K317" t="inlineStr">
        <is>
          <t>No</t>
        </is>
      </c>
      <c r="L317" t="inlineStr">
        <is>
          <t>0</t>
        </is>
      </c>
      <c r="N317" t="inlineStr">
        <is>
          <t>Caracas : Monte Avila, 1969.</t>
        </is>
      </c>
      <c r="O317" t="inlineStr">
        <is>
          <t>1969</t>
        </is>
      </c>
      <c r="Q317" t="inlineStr">
        <is>
          <t>spa</t>
        </is>
      </c>
      <c r="R317" t="inlineStr">
        <is>
          <t xml:space="preserve">ve </t>
        </is>
      </c>
      <c r="S317" t="inlineStr">
        <is>
          <t>Colección Estudios</t>
        </is>
      </c>
      <c r="T317" t="inlineStr">
        <is>
          <t xml:space="preserve">PQ </t>
        </is>
      </c>
      <c r="U317" t="n">
        <v>1</v>
      </c>
      <c r="V317" t="n">
        <v>1</v>
      </c>
      <c r="W317" t="inlineStr">
        <is>
          <t>2003-05-01</t>
        </is>
      </c>
      <c r="X317" t="inlineStr">
        <is>
          <t>2003-05-01</t>
        </is>
      </c>
      <c r="Y317" t="inlineStr">
        <is>
          <t>2003-05-01</t>
        </is>
      </c>
      <c r="Z317" t="inlineStr">
        <is>
          <t>2003-05-01</t>
        </is>
      </c>
      <c r="AA317" t="n">
        <v>2</v>
      </c>
      <c r="AB317" t="n">
        <v>2</v>
      </c>
      <c r="AC317" t="n">
        <v>23</v>
      </c>
      <c r="AD317" t="n">
        <v>1</v>
      </c>
      <c r="AE317" t="n">
        <v>2</v>
      </c>
      <c r="AF317" t="n">
        <v>0</v>
      </c>
      <c r="AG317" t="n">
        <v>2</v>
      </c>
      <c r="AH317" t="n">
        <v>0</v>
      </c>
      <c r="AI317" t="n">
        <v>1</v>
      </c>
      <c r="AJ317" t="n">
        <v>0</v>
      </c>
      <c r="AK317" t="n">
        <v>1</v>
      </c>
      <c r="AL317" t="n">
        <v>0</v>
      </c>
      <c r="AM317" t="n">
        <v>0</v>
      </c>
      <c r="AN317" t="n">
        <v>0</v>
      </c>
      <c r="AO317" t="n">
        <v>1</v>
      </c>
      <c r="AP317" t="n">
        <v>0</v>
      </c>
      <c r="AQ317" t="n">
        <v>0</v>
      </c>
      <c r="AR317" t="inlineStr">
        <is>
          <t>No</t>
        </is>
      </c>
      <c r="AS317" t="inlineStr">
        <is>
          <t>No</t>
        </is>
      </c>
      <c r="AU317">
        <f>HYPERLINK("https://creighton-primo.hosted.exlibrisgroup.com/primo-explore/search?tab=default_tab&amp;search_scope=EVERYTHING&amp;vid=01CRU&amp;lang=en_US&amp;offset=0&amp;query=any,contains,991004044819702656","Catalog Record")</f>
        <v/>
      </c>
      <c r="AV317">
        <f>HYPERLINK("http://www.worldcat.org/oclc/24152194","WorldCat Record")</f>
        <v/>
      </c>
      <c r="AW317" t="inlineStr">
        <is>
          <t>475138449:spa</t>
        </is>
      </c>
      <c r="AX317" t="inlineStr">
        <is>
          <t>24152194</t>
        </is>
      </c>
      <c r="AY317" t="inlineStr">
        <is>
          <t>991004044819702656</t>
        </is>
      </c>
      <c r="AZ317" t="inlineStr">
        <is>
          <t>991004044819702656</t>
        </is>
      </c>
      <c r="BA317" t="inlineStr">
        <is>
          <t>2256434890002656</t>
        </is>
      </c>
      <c r="BB317" t="inlineStr">
        <is>
          <t>BOOK</t>
        </is>
      </c>
      <c r="BE317" t="inlineStr">
        <is>
          <t>32285004683784</t>
        </is>
      </c>
      <c r="BF317" t="inlineStr">
        <is>
          <t>893247093</t>
        </is>
      </c>
    </row>
    <row r="318">
      <c r="A318" t="inlineStr">
        <is>
          <t>No</t>
        </is>
      </c>
      <c r="B318" t="inlineStr">
        <is>
          <t>CURAL</t>
        </is>
      </c>
      <c r="C318" t="inlineStr">
        <is>
          <t>SHELVES</t>
        </is>
      </c>
      <c r="D318" t="inlineStr">
        <is>
          <t>PQ4204.A3 I83 1987</t>
        </is>
      </c>
      <c r="E318" t="inlineStr">
        <is>
          <t>0                      PQ 4204000A  3                  I  83          1987</t>
        </is>
      </c>
      <c r="F318" t="inlineStr">
        <is>
          <t>The Italian Renaissance reader / edited by Julia Conaway Bondanella and Mark Musa.</t>
        </is>
      </c>
      <c r="H318" t="inlineStr">
        <is>
          <t>No</t>
        </is>
      </c>
      <c r="I318" t="inlineStr">
        <is>
          <t>1</t>
        </is>
      </c>
      <c r="J318" t="inlineStr">
        <is>
          <t>No</t>
        </is>
      </c>
      <c r="K318" t="inlineStr">
        <is>
          <t>No</t>
        </is>
      </c>
      <c r="L318" t="inlineStr">
        <is>
          <t>0</t>
        </is>
      </c>
      <c r="N318" t="inlineStr">
        <is>
          <t>New York : New American Library, c1987.</t>
        </is>
      </c>
      <c r="O318" t="inlineStr">
        <is>
          <t>1987</t>
        </is>
      </c>
      <c r="Q318" t="inlineStr">
        <is>
          <t>eng</t>
        </is>
      </c>
      <c r="R318" t="inlineStr">
        <is>
          <t>nyu</t>
        </is>
      </c>
      <c r="T318" t="inlineStr">
        <is>
          <t xml:space="preserve">PQ </t>
        </is>
      </c>
      <c r="U318" t="n">
        <v>1</v>
      </c>
      <c r="V318" t="n">
        <v>1</v>
      </c>
      <c r="W318" t="inlineStr">
        <is>
          <t>1992-11-09</t>
        </is>
      </c>
      <c r="X318" t="inlineStr">
        <is>
          <t>1992-11-09</t>
        </is>
      </c>
      <c r="Y318" t="inlineStr">
        <is>
          <t>1992-03-06</t>
        </is>
      </c>
      <c r="Z318" t="inlineStr">
        <is>
          <t>1992-03-06</t>
        </is>
      </c>
      <c r="AA318" t="n">
        <v>245</v>
      </c>
      <c r="AB318" t="n">
        <v>217</v>
      </c>
      <c r="AC318" t="n">
        <v>364</v>
      </c>
      <c r="AD318" t="n">
        <v>1</v>
      </c>
      <c r="AE318" t="n">
        <v>2</v>
      </c>
      <c r="AF318" t="n">
        <v>4</v>
      </c>
      <c r="AG318" t="n">
        <v>12</v>
      </c>
      <c r="AH318" t="n">
        <v>0</v>
      </c>
      <c r="AI318" t="n">
        <v>4</v>
      </c>
      <c r="AJ318" t="n">
        <v>3</v>
      </c>
      <c r="AK318" t="n">
        <v>5</v>
      </c>
      <c r="AL318" t="n">
        <v>3</v>
      </c>
      <c r="AM318" t="n">
        <v>5</v>
      </c>
      <c r="AN318" t="n">
        <v>0</v>
      </c>
      <c r="AO318" t="n">
        <v>1</v>
      </c>
      <c r="AP318" t="n">
        <v>0</v>
      </c>
      <c r="AQ318" t="n">
        <v>0</v>
      </c>
      <c r="AR318" t="inlineStr">
        <is>
          <t>No</t>
        </is>
      </c>
      <c r="AS318" t="inlineStr">
        <is>
          <t>Yes</t>
        </is>
      </c>
      <c r="AT318">
        <f>HYPERLINK("http://catalog.hathitrust.org/Record/000884999","HathiTrust Record")</f>
        <v/>
      </c>
      <c r="AU318">
        <f>HYPERLINK("https://creighton-primo.hosted.exlibrisgroup.com/primo-explore/search?tab=default_tab&amp;search_scope=EVERYTHING&amp;vid=01CRU&amp;lang=en_US&amp;offset=0&amp;query=any,contains,991001082679702656","Catalog Record")</f>
        <v/>
      </c>
      <c r="AV318">
        <f>HYPERLINK("http://www.worldcat.org/oclc/16090933","WorldCat Record")</f>
        <v/>
      </c>
      <c r="AW318" t="inlineStr">
        <is>
          <t>375886918:eng</t>
        </is>
      </c>
      <c r="AX318" t="inlineStr">
        <is>
          <t>16090933</t>
        </is>
      </c>
      <c r="AY318" t="inlineStr">
        <is>
          <t>991001082679702656</t>
        </is>
      </c>
      <c r="AZ318" t="inlineStr">
        <is>
          <t>991001082679702656</t>
        </is>
      </c>
      <c r="BA318" t="inlineStr">
        <is>
          <t>2262313930002656</t>
        </is>
      </c>
      <c r="BB318" t="inlineStr">
        <is>
          <t>BOOK</t>
        </is>
      </c>
      <c r="BD318" t="inlineStr">
        <is>
          <t>9780452008731</t>
        </is>
      </c>
      <c r="BE318" t="inlineStr">
        <is>
          <t>32285000938430</t>
        </is>
      </c>
      <c r="BF318" t="inlineStr">
        <is>
          <t>893690305</t>
        </is>
      </c>
    </row>
    <row r="319">
      <c r="A319" t="inlineStr">
        <is>
          <t>No</t>
        </is>
      </c>
      <c r="B319" t="inlineStr">
        <is>
          <t>CURAL</t>
        </is>
      </c>
      <c r="C319" t="inlineStr">
        <is>
          <t>SHELVES</t>
        </is>
      </c>
      <c r="D319" t="inlineStr">
        <is>
          <t>PQ4236 .S313</t>
        </is>
      </c>
      <c r="E319" t="inlineStr">
        <is>
          <t>0                      PQ 4236000S  313</t>
        </is>
      </c>
      <c r="F319" t="inlineStr">
        <is>
          <t>Scenarios of the commedia dell'arte: Flaminio Scala's Il teatro delle favole rappresentative. Translated by Henry F. Salerno. With a foreword by Kenneth McKee.</t>
        </is>
      </c>
      <c r="H319" t="inlineStr">
        <is>
          <t>No</t>
        </is>
      </c>
      <c r="I319" t="inlineStr">
        <is>
          <t>1</t>
        </is>
      </c>
      <c r="J319" t="inlineStr">
        <is>
          <t>No</t>
        </is>
      </c>
      <c r="K319" t="inlineStr">
        <is>
          <t>No</t>
        </is>
      </c>
      <c r="L319" t="inlineStr">
        <is>
          <t>0</t>
        </is>
      </c>
      <c r="M319" t="inlineStr">
        <is>
          <t>Scala, Flaminio, active 1620.</t>
        </is>
      </c>
      <c r="N319" t="inlineStr">
        <is>
          <t>New York, New York University Press, 1967.</t>
        </is>
      </c>
      <c r="O319" t="inlineStr">
        <is>
          <t>1967</t>
        </is>
      </c>
      <c r="Q319" t="inlineStr">
        <is>
          <t>eng</t>
        </is>
      </c>
      <c r="R319" t="inlineStr">
        <is>
          <t>nyu</t>
        </is>
      </c>
      <c r="S319" t="inlineStr">
        <is>
          <t>The Stuart editions</t>
        </is>
      </c>
      <c r="T319" t="inlineStr">
        <is>
          <t xml:space="preserve">PQ </t>
        </is>
      </c>
      <c r="U319" t="n">
        <v>2</v>
      </c>
      <c r="V319" t="n">
        <v>2</v>
      </c>
      <c r="W319" t="inlineStr">
        <is>
          <t>2004-06-04</t>
        </is>
      </c>
      <c r="X319" t="inlineStr">
        <is>
          <t>2004-06-04</t>
        </is>
      </c>
      <c r="Y319" t="inlineStr">
        <is>
          <t>1997-07-30</t>
        </is>
      </c>
      <c r="Z319" t="inlineStr">
        <is>
          <t>1997-07-30</t>
        </is>
      </c>
      <c r="AA319" t="n">
        <v>836</v>
      </c>
      <c r="AB319" t="n">
        <v>742</v>
      </c>
      <c r="AC319" t="n">
        <v>781</v>
      </c>
      <c r="AD319" t="n">
        <v>8</v>
      </c>
      <c r="AE319" t="n">
        <v>8</v>
      </c>
      <c r="AF319" t="n">
        <v>36</v>
      </c>
      <c r="AG319" t="n">
        <v>37</v>
      </c>
      <c r="AH319" t="n">
        <v>14</v>
      </c>
      <c r="AI319" t="n">
        <v>15</v>
      </c>
      <c r="AJ319" t="n">
        <v>7</v>
      </c>
      <c r="AK319" t="n">
        <v>7</v>
      </c>
      <c r="AL319" t="n">
        <v>15</v>
      </c>
      <c r="AM319" t="n">
        <v>15</v>
      </c>
      <c r="AN319" t="n">
        <v>7</v>
      </c>
      <c r="AO319" t="n">
        <v>7</v>
      </c>
      <c r="AP319" t="n">
        <v>0</v>
      </c>
      <c r="AQ319" t="n">
        <v>0</v>
      </c>
      <c r="AR319" t="inlineStr">
        <is>
          <t>No</t>
        </is>
      </c>
      <c r="AS319" t="inlineStr">
        <is>
          <t>Yes</t>
        </is>
      </c>
      <c r="AT319">
        <f>HYPERLINK("http://catalog.hathitrust.org/Record/001218060","HathiTrust Record")</f>
        <v/>
      </c>
      <c r="AU319">
        <f>HYPERLINK("https://creighton-primo.hosted.exlibrisgroup.com/primo-explore/search?tab=default_tab&amp;search_scope=EVERYTHING&amp;vid=01CRU&amp;lang=en_US&amp;offset=0&amp;query=any,contains,991001157899702656","Catalog Record")</f>
        <v/>
      </c>
      <c r="AV319">
        <f>HYPERLINK("http://www.worldcat.org/oclc/186077","WorldCat Record")</f>
        <v/>
      </c>
      <c r="AW319" t="inlineStr">
        <is>
          <t>1335899:eng</t>
        </is>
      </c>
      <c r="AX319" t="inlineStr">
        <is>
          <t>186077</t>
        </is>
      </c>
      <c r="AY319" t="inlineStr">
        <is>
          <t>991001157899702656</t>
        </is>
      </c>
      <c r="AZ319" t="inlineStr">
        <is>
          <t>991001157899702656</t>
        </is>
      </c>
      <c r="BA319" t="inlineStr">
        <is>
          <t>2269463480002656</t>
        </is>
      </c>
      <c r="BB319" t="inlineStr">
        <is>
          <t>BOOK</t>
        </is>
      </c>
      <c r="BE319" t="inlineStr">
        <is>
          <t>32285002798204</t>
        </is>
      </c>
      <c r="BF319" t="inlineStr">
        <is>
          <t>893522336</t>
        </is>
      </c>
    </row>
    <row r="320">
      <c r="A320" t="inlineStr">
        <is>
          <t>No</t>
        </is>
      </c>
      <c r="B320" t="inlineStr">
        <is>
          <t>CURAL</t>
        </is>
      </c>
      <c r="C320" t="inlineStr">
        <is>
          <t>SHELVES</t>
        </is>
      </c>
      <c r="D320" t="inlineStr">
        <is>
          <t>PQ4244.E5 B4</t>
        </is>
      </c>
      <c r="E320" t="inlineStr">
        <is>
          <t>0                      PQ 4244000E  5                  B  4</t>
        </is>
      </c>
      <c r="F320" t="inlineStr">
        <is>
          <t>The classic theatre.</t>
        </is>
      </c>
      <c r="G320" t="inlineStr">
        <is>
          <t>V.1</t>
        </is>
      </c>
      <c r="H320" t="inlineStr">
        <is>
          <t>Yes</t>
        </is>
      </c>
      <c r="I320" t="inlineStr">
        <is>
          <t>1</t>
        </is>
      </c>
      <c r="J320" t="inlineStr">
        <is>
          <t>No</t>
        </is>
      </c>
      <c r="K320" t="inlineStr">
        <is>
          <t>No</t>
        </is>
      </c>
      <c r="L320" t="inlineStr">
        <is>
          <t>0</t>
        </is>
      </c>
      <c r="M320" t="inlineStr">
        <is>
          <t>Bentley, Eric, 1916-2020 editor.</t>
        </is>
      </c>
      <c r="N320" t="inlineStr">
        <is>
          <t>Garden City, N.Y., Doubleday, 1958-61.</t>
        </is>
      </c>
      <c r="O320" t="inlineStr">
        <is>
          <t>1958</t>
        </is>
      </c>
      <c r="P320" t="inlineStr">
        <is>
          <t>[1st ed.]</t>
        </is>
      </c>
      <c r="Q320" t="inlineStr">
        <is>
          <t>eng</t>
        </is>
      </c>
      <c r="R320" t="inlineStr">
        <is>
          <t>nyu</t>
        </is>
      </c>
      <c r="S320" t="inlineStr">
        <is>
          <t>Doubleday anchor books ; A155</t>
        </is>
      </c>
      <c r="T320" t="inlineStr">
        <is>
          <t xml:space="preserve">PQ </t>
        </is>
      </c>
      <c r="U320" t="n">
        <v>10</v>
      </c>
      <c r="V320" t="n">
        <v>11</v>
      </c>
      <c r="W320" t="inlineStr">
        <is>
          <t>2004-06-04</t>
        </is>
      </c>
      <c r="X320" t="inlineStr">
        <is>
          <t>2004-06-04</t>
        </is>
      </c>
      <c r="Y320" t="inlineStr">
        <is>
          <t>1997-07-30</t>
        </is>
      </c>
      <c r="Z320" t="inlineStr">
        <is>
          <t>1997-07-30</t>
        </is>
      </c>
      <c r="AA320" t="n">
        <v>1598</v>
      </c>
      <c r="AB320" t="n">
        <v>1463</v>
      </c>
      <c r="AC320" t="n">
        <v>1472</v>
      </c>
      <c r="AD320" t="n">
        <v>9</v>
      </c>
      <c r="AE320" t="n">
        <v>9</v>
      </c>
      <c r="AF320" t="n">
        <v>48</v>
      </c>
      <c r="AG320" t="n">
        <v>48</v>
      </c>
      <c r="AH320" t="n">
        <v>19</v>
      </c>
      <c r="AI320" t="n">
        <v>19</v>
      </c>
      <c r="AJ320" t="n">
        <v>9</v>
      </c>
      <c r="AK320" t="n">
        <v>9</v>
      </c>
      <c r="AL320" t="n">
        <v>23</v>
      </c>
      <c r="AM320" t="n">
        <v>23</v>
      </c>
      <c r="AN320" t="n">
        <v>8</v>
      </c>
      <c r="AO320" t="n">
        <v>8</v>
      </c>
      <c r="AP320" t="n">
        <v>0</v>
      </c>
      <c r="AQ320" t="n">
        <v>0</v>
      </c>
      <c r="AR320" t="inlineStr">
        <is>
          <t>No</t>
        </is>
      </c>
      <c r="AS320" t="inlineStr">
        <is>
          <t>Yes</t>
        </is>
      </c>
      <c r="AT320">
        <f>HYPERLINK("http://catalog.hathitrust.org/Record/000196731","HathiTrust Record")</f>
        <v/>
      </c>
      <c r="AU320">
        <f>HYPERLINK("https://creighton-primo.hosted.exlibrisgroup.com/primo-explore/search?tab=default_tab&amp;search_scope=EVERYTHING&amp;vid=01CRU&amp;lang=en_US&amp;offset=0&amp;query=any,contains,991005354699702656","Catalog Record")</f>
        <v/>
      </c>
      <c r="AV320">
        <f>HYPERLINK("http://www.worldcat.org/oclc/344007","WorldCat Record")</f>
        <v/>
      </c>
      <c r="AW320" t="inlineStr">
        <is>
          <t>2863547178:eng</t>
        </is>
      </c>
      <c r="AX320" t="inlineStr">
        <is>
          <t>344007</t>
        </is>
      </c>
      <c r="AY320" t="inlineStr">
        <is>
          <t>991005354699702656</t>
        </is>
      </c>
      <c r="AZ320" t="inlineStr">
        <is>
          <t>991005354699702656</t>
        </is>
      </c>
      <c r="BA320" t="inlineStr">
        <is>
          <t>2264872660002656</t>
        </is>
      </c>
      <c r="BB320" t="inlineStr">
        <is>
          <t>BOOK</t>
        </is>
      </c>
      <c r="BE320" t="inlineStr">
        <is>
          <t>32285002798212</t>
        </is>
      </c>
      <c r="BF320" t="inlineStr">
        <is>
          <t>893260966</t>
        </is>
      </c>
    </row>
    <row r="321">
      <c r="A321" t="inlineStr">
        <is>
          <t>No</t>
        </is>
      </c>
      <c r="B321" t="inlineStr">
        <is>
          <t>CURAL</t>
        </is>
      </c>
      <c r="C321" t="inlineStr">
        <is>
          <t>SHELVES</t>
        </is>
      </c>
      <c r="D321" t="inlineStr">
        <is>
          <t>PQ4244.E5 B4</t>
        </is>
      </c>
      <c r="E321" t="inlineStr">
        <is>
          <t>0                      PQ 4244000E  5                  B  4</t>
        </is>
      </c>
      <c r="F321" t="inlineStr">
        <is>
          <t>The classic theatre.</t>
        </is>
      </c>
      <c r="G321" t="inlineStr">
        <is>
          <t>V.2</t>
        </is>
      </c>
      <c r="H321" t="inlineStr">
        <is>
          <t>Yes</t>
        </is>
      </c>
      <c r="I321" t="inlineStr">
        <is>
          <t>1</t>
        </is>
      </c>
      <c r="J321" t="inlineStr">
        <is>
          <t>No</t>
        </is>
      </c>
      <c r="K321" t="inlineStr">
        <is>
          <t>No</t>
        </is>
      </c>
      <c r="L321" t="inlineStr">
        <is>
          <t>0</t>
        </is>
      </c>
      <c r="M321" t="inlineStr">
        <is>
          <t>Bentley, Eric, 1916-2020 editor.</t>
        </is>
      </c>
      <c r="N321" t="inlineStr">
        <is>
          <t>Garden City, N.Y., Doubleday, 1958-61.</t>
        </is>
      </c>
      <c r="O321" t="inlineStr">
        <is>
          <t>1958</t>
        </is>
      </c>
      <c r="P321" t="inlineStr">
        <is>
          <t>[1st ed.]</t>
        </is>
      </c>
      <c r="Q321" t="inlineStr">
        <is>
          <t>eng</t>
        </is>
      </c>
      <c r="R321" t="inlineStr">
        <is>
          <t>nyu</t>
        </is>
      </c>
      <c r="S321" t="inlineStr">
        <is>
          <t>Doubleday anchor books ; A155</t>
        </is>
      </c>
      <c r="T321" t="inlineStr">
        <is>
          <t xml:space="preserve">PQ </t>
        </is>
      </c>
      <c r="U321" t="n">
        <v>0</v>
      </c>
      <c r="V321" t="n">
        <v>11</v>
      </c>
      <c r="X321" t="inlineStr">
        <is>
          <t>2004-06-04</t>
        </is>
      </c>
      <c r="Y321" t="inlineStr">
        <is>
          <t>1997-07-30</t>
        </is>
      </c>
      <c r="Z321" t="inlineStr">
        <is>
          <t>1997-07-30</t>
        </is>
      </c>
      <c r="AA321" t="n">
        <v>1598</v>
      </c>
      <c r="AB321" t="n">
        <v>1463</v>
      </c>
      <c r="AC321" t="n">
        <v>1472</v>
      </c>
      <c r="AD321" t="n">
        <v>9</v>
      </c>
      <c r="AE321" t="n">
        <v>9</v>
      </c>
      <c r="AF321" t="n">
        <v>48</v>
      </c>
      <c r="AG321" t="n">
        <v>48</v>
      </c>
      <c r="AH321" t="n">
        <v>19</v>
      </c>
      <c r="AI321" t="n">
        <v>19</v>
      </c>
      <c r="AJ321" t="n">
        <v>9</v>
      </c>
      <c r="AK321" t="n">
        <v>9</v>
      </c>
      <c r="AL321" t="n">
        <v>23</v>
      </c>
      <c r="AM321" t="n">
        <v>23</v>
      </c>
      <c r="AN321" t="n">
        <v>8</v>
      </c>
      <c r="AO321" t="n">
        <v>8</v>
      </c>
      <c r="AP321" t="n">
        <v>0</v>
      </c>
      <c r="AQ321" t="n">
        <v>0</v>
      </c>
      <c r="AR321" t="inlineStr">
        <is>
          <t>No</t>
        </is>
      </c>
      <c r="AS321" t="inlineStr">
        <is>
          <t>Yes</t>
        </is>
      </c>
      <c r="AT321">
        <f>HYPERLINK("http://catalog.hathitrust.org/Record/000196731","HathiTrust Record")</f>
        <v/>
      </c>
      <c r="AU321">
        <f>HYPERLINK("https://creighton-primo.hosted.exlibrisgroup.com/primo-explore/search?tab=default_tab&amp;search_scope=EVERYTHING&amp;vid=01CRU&amp;lang=en_US&amp;offset=0&amp;query=any,contains,991005354699702656","Catalog Record")</f>
        <v/>
      </c>
      <c r="AV321">
        <f>HYPERLINK("http://www.worldcat.org/oclc/344007","WorldCat Record")</f>
        <v/>
      </c>
      <c r="AW321" t="inlineStr">
        <is>
          <t>2863547178:eng</t>
        </is>
      </c>
      <c r="AX321" t="inlineStr">
        <is>
          <t>344007</t>
        </is>
      </c>
      <c r="AY321" t="inlineStr">
        <is>
          <t>991005354699702656</t>
        </is>
      </c>
      <c r="AZ321" t="inlineStr">
        <is>
          <t>991005354699702656</t>
        </is>
      </c>
      <c r="BA321" t="inlineStr">
        <is>
          <t>2264872660002656</t>
        </is>
      </c>
      <c r="BB321" t="inlineStr">
        <is>
          <t>BOOK</t>
        </is>
      </c>
      <c r="BE321" t="inlineStr">
        <is>
          <t>32285002798220</t>
        </is>
      </c>
      <c r="BF321" t="inlineStr">
        <is>
          <t>893242585</t>
        </is>
      </c>
    </row>
    <row r="322">
      <c r="A322" t="inlineStr">
        <is>
          <t>No</t>
        </is>
      </c>
      <c r="B322" t="inlineStr">
        <is>
          <t>CURAL</t>
        </is>
      </c>
      <c r="C322" t="inlineStr">
        <is>
          <t>SHELVES</t>
        </is>
      </c>
      <c r="D322" t="inlineStr">
        <is>
          <t>PQ4244.E5 B4</t>
        </is>
      </c>
      <c r="E322" t="inlineStr">
        <is>
          <t>0                      PQ 4244000E  5                  B  4</t>
        </is>
      </c>
      <c r="F322" t="inlineStr">
        <is>
          <t>The classic theatre.</t>
        </is>
      </c>
      <c r="G322" t="inlineStr">
        <is>
          <t>V.3</t>
        </is>
      </c>
      <c r="H322" t="inlineStr">
        <is>
          <t>Yes</t>
        </is>
      </c>
      <c r="I322" t="inlineStr">
        <is>
          <t>1</t>
        </is>
      </c>
      <c r="J322" t="inlineStr">
        <is>
          <t>No</t>
        </is>
      </c>
      <c r="K322" t="inlineStr">
        <is>
          <t>No</t>
        </is>
      </c>
      <c r="L322" t="inlineStr">
        <is>
          <t>0</t>
        </is>
      </c>
      <c r="M322" t="inlineStr">
        <is>
          <t>Bentley, Eric, 1916-2020 editor.</t>
        </is>
      </c>
      <c r="N322" t="inlineStr">
        <is>
          <t>Garden City, N.Y., Doubleday, 1958-61.</t>
        </is>
      </c>
      <c r="O322" t="inlineStr">
        <is>
          <t>1958</t>
        </is>
      </c>
      <c r="P322" t="inlineStr">
        <is>
          <t>[1st ed.]</t>
        </is>
      </c>
      <c r="Q322" t="inlineStr">
        <is>
          <t>eng</t>
        </is>
      </c>
      <c r="R322" t="inlineStr">
        <is>
          <t>nyu</t>
        </is>
      </c>
      <c r="S322" t="inlineStr">
        <is>
          <t>Doubleday anchor books ; A155</t>
        </is>
      </c>
      <c r="T322" t="inlineStr">
        <is>
          <t xml:space="preserve">PQ </t>
        </is>
      </c>
      <c r="U322" t="n">
        <v>1</v>
      </c>
      <c r="V322" t="n">
        <v>11</v>
      </c>
      <c r="W322" t="inlineStr">
        <is>
          <t>2000-04-18</t>
        </is>
      </c>
      <c r="X322" t="inlineStr">
        <is>
          <t>2004-06-04</t>
        </is>
      </c>
      <c r="Y322" t="inlineStr">
        <is>
          <t>1997-07-30</t>
        </is>
      </c>
      <c r="Z322" t="inlineStr">
        <is>
          <t>1997-07-30</t>
        </is>
      </c>
      <c r="AA322" t="n">
        <v>1598</v>
      </c>
      <c r="AB322" t="n">
        <v>1463</v>
      </c>
      <c r="AC322" t="n">
        <v>1472</v>
      </c>
      <c r="AD322" t="n">
        <v>9</v>
      </c>
      <c r="AE322" t="n">
        <v>9</v>
      </c>
      <c r="AF322" t="n">
        <v>48</v>
      </c>
      <c r="AG322" t="n">
        <v>48</v>
      </c>
      <c r="AH322" t="n">
        <v>19</v>
      </c>
      <c r="AI322" t="n">
        <v>19</v>
      </c>
      <c r="AJ322" t="n">
        <v>9</v>
      </c>
      <c r="AK322" t="n">
        <v>9</v>
      </c>
      <c r="AL322" t="n">
        <v>23</v>
      </c>
      <c r="AM322" t="n">
        <v>23</v>
      </c>
      <c r="AN322" t="n">
        <v>8</v>
      </c>
      <c r="AO322" t="n">
        <v>8</v>
      </c>
      <c r="AP322" t="n">
        <v>0</v>
      </c>
      <c r="AQ322" t="n">
        <v>0</v>
      </c>
      <c r="AR322" t="inlineStr">
        <is>
          <t>No</t>
        </is>
      </c>
      <c r="AS322" t="inlineStr">
        <is>
          <t>Yes</t>
        </is>
      </c>
      <c r="AT322">
        <f>HYPERLINK("http://catalog.hathitrust.org/Record/000196731","HathiTrust Record")</f>
        <v/>
      </c>
      <c r="AU322">
        <f>HYPERLINK("https://creighton-primo.hosted.exlibrisgroup.com/primo-explore/search?tab=default_tab&amp;search_scope=EVERYTHING&amp;vid=01CRU&amp;lang=en_US&amp;offset=0&amp;query=any,contains,991005354699702656","Catalog Record")</f>
        <v/>
      </c>
      <c r="AV322">
        <f>HYPERLINK("http://www.worldcat.org/oclc/344007","WorldCat Record")</f>
        <v/>
      </c>
      <c r="AW322" t="inlineStr">
        <is>
          <t>2863547178:eng</t>
        </is>
      </c>
      <c r="AX322" t="inlineStr">
        <is>
          <t>344007</t>
        </is>
      </c>
      <c r="AY322" t="inlineStr">
        <is>
          <t>991005354699702656</t>
        </is>
      </c>
      <c r="AZ322" t="inlineStr">
        <is>
          <t>991005354699702656</t>
        </is>
      </c>
      <c r="BA322" t="inlineStr">
        <is>
          <t>2264872660002656</t>
        </is>
      </c>
      <c r="BB322" t="inlineStr">
        <is>
          <t>BOOK</t>
        </is>
      </c>
      <c r="BE322" t="inlineStr">
        <is>
          <t>32285002798238</t>
        </is>
      </c>
      <c r="BF322" t="inlineStr">
        <is>
          <t>893254861</t>
        </is>
      </c>
    </row>
    <row r="323">
      <c r="A323" t="inlineStr">
        <is>
          <t>No</t>
        </is>
      </c>
      <c r="B323" t="inlineStr">
        <is>
          <t>CURAL</t>
        </is>
      </c>
      <c r="C323" t="inlineStr">
        <is>
          <t>SHELVES</t>
        </is>
      </c>
      <c r="D323" t="inlineStr">
        <is>
          <t>PQ4244.E5 B4</t>
        </is>
      </c>
      <c r="E323" t="inlineStr">
        <is>
          <t>0                      PQ 4244000E  5                  B  4</t>
        </is>
      </c>
      <c r="F323" t="inlineStr">
        <is>
          <t>The classic theatre.</t>
        </is>
      </c>
      <c r="G323" t="inlineStr">
        <is>
          <t>V.4</t>
        </is>
      </c>
      <c r="H323" t="inlineStr">
        <is>
          <t>Yes</t>
        </is>
      </c>
      <c r="I323" t="inlineStr">
        <is>
          <t>1</t>
        </is>
      </c>
      <c r="J323" t="inlineStr">
        <is>
          <t>No</t>
        </is>
      </c>
      <c r="K323" t="inlineStr">
        <is>
          <t>No</t>
        </is>
      </c>
      <c r="L323" t="inlineStr">
        <is>
          <t>0</t>
        </is>
      </c>
      <c r="M323" t="inlineStr">
        <is>
          <t>Bentley, Eric, 1916-2020 editor.</t>
        </is>
      </c>
      <c r="N323" t="inlineStr">
        <is>
          <t>Garden City, N.Y., Doubleday, 1958-61.</t>
        </is>
      </c>
      <c r="O323" t="inlineStr">
        <is>
          <t>1958</t>
        </is>
      </c>
      <c r="P323" t="inlineStr">
        <is>
          <t>[1st ed.]</t>
        </is>
      </c>
      <c r="Q323" t="inlineStr">
        <is>
          <t>eng</t>
        </is>
      </c>
      <c r="R323" t="inlineStr">
        <is>
          <t>nyu</t>
        </is>
      </c>
      <c r="S323" t="inlineStr">
        <is>
          <t>Doubleday anchor books ; A155</t>
        </is>
      </c>
      <c r="T323" t="inlineStr">
        <is>
          <t xml:space="preserve">PQ </t>
        </is>
      </c>
      <c r="U323" t="n">
        <v>0</v>
      </c>
      <c r="V323" t="n">
        <v>11</v>
      </c>
      <c r="X323" t="inlineStr">
        <is>
          <t>2004-06-04</t>
        </is>
      </c>
      <c r="Y323" t="inlineStr">
        <is>
          <t>1997-07-30</t>
        </is>
      </c>
      <c r="Z323" t="inlineStr">
        <is>
          <t>1997-07-30</t>
        </is>
      </c>
      <c r="AA323" t="n">
        <v>1598</v>
      </c>
      <c r="AB323" t="n">
        <v>1463</v>
      </c>
      <c r="AC323" t="n">
        <v>1472</v>
      </c>
      <c r="AD323" t="n">
        <v>9</v>
      </c>
      <c r="AE323" t="n">
        <v>9</v>
      </c>
      <c r="AF323" t="n">
        <v>48</v>
      </c>
      <c r="AG323" t="n">
        <v>48</v>
      </c>
      <c r="AH323" t="n">
        <v>19</v>
      </c>
      <c r="AI323" t="n">
        <v>19</v>
      </c>
      <c r="AJ323" t="n">
        <v>9</v>
      </c>
      <c r="AK323" t="n">
        <v>9</v>
      </c>
      <c r="AL323" t="n">
        <v>23</v>
      </c>
      <c r="AM323" t="n">
        <v>23</v>
      </c>
      <c r="AN323" t="n">
        <v>8</v>
      </c>
      <c r="AO323" t="n">
        <v>8</v>
      </c>
      <c r="AP323" t="n">
        <v>0</v>
      </c>
      <c r="AQ323" t="n">
        <v>0</v>
      </c>
      <c r="AR323" t="inlineStr">
        <is>
          <t>No</t>
        </is>
      </c>
      <c r="AS323" t="inlineStr">
        <is>
          <t>Yes</t>
        </is>
      </c>
      <c r="AT323">
        <f>HYPERLINK("http://catalog.hathitrust.org/Record/000196731","HathiTrust Record")</f>
        <v/>
      </c>
      <c r="AU323">
        <f>HYPERLINK("https://creighton-primo.hosted.exlibrisgroup.com/primo-explore/search?tab=default_tab&amp;search_scope=EVERYTHING&amp;vid=01CRU&amp;lang=en_US&amp;offset=0&amp;query=any,contains,991005354699702656","Catalog Record")</f>
        <v/>
      </c>
      <c r="AV323">
        <f>HYPERLINK("http://www.worldcat.org/oclc/344007","WorldCat Record")</f>
        <v/>
      </c>
      <c r="AW323" t="inlineStr">
        <is>
          <t>2863547178:eng</t>
        </is>
      </c>
      <c r="AX323" t="inlineStr">
        <is>
          <t>344007</t>
        </is>
      </c>
      <c r="AY323" t="inlineStr">
        <is>
          <t>991005354699702656</t>
        </is>
      </c>
      <c r="AZ323" t="inlineStr">
        <is>
          <t>991005354699702656</t>
        </is>
      </c>
      <c r="BA323" t="inlineStr">
        <is>
          <t>2264872660002656</t>
        </is>
      </c>
      <c r="BB323" t="inlineStr">
        <is>
          <t>BOOK</t>
        </is>
      </c>
      <c r="BE323" t="inlineStr">
        <is>
          <t>32285002798246</t>
        </is>
      </c>
      <c r="BF323" t="inlineStr">
        <is>
          <t>893260965</t>
        </is>
      </c>
    </row>
    <row r="324">
      <c r="A324" t="inlineStr">
        <is>
          <t>No</t>
        </is>
      </c>
      <c r="B324" t="inlineStr">
        <is>
          <t>CURAL</t>
        </is>
      </c>
      <c r="C324" t="inlineStr">
        <is>
          <t>SHELVES</t>
        </is>
      </c>
      <c r="D324" t="inlineStr">
        <is>
          <t>PQ4254 .W5</t>
        </is>
      </c>
      <c r="E324" t="inlineStr">
        <is>
          <t>0                      PQ 4254000W  5</t>
        </is>
      </c>
      <c r="F324" t="inlineStr">
        <is>
          <t>Italian short stories, selected and ed. by Ernest H. Wilkins ... and Rudolph Altrocchi ...</t>
        </is>
      </c>
      <c r="H324" t="inlineStr">
        <is>
          <t>No</t>
        </is>
      </c>
      <c r="I324" t="inlineStr">
        <is>
          <t>1</t>
        </is>
      </c>
      <c r="J324" t="inlineStr">
        <is>
          <t>No</t>
        </is>
      </c>
      <c r="K324" t="inlineStr">
        <is>
          <t>No</t>
        </is>
      </c>
      <c r="L324" t="inlineStr">
        <is>
          <t>0</t>
        </is>
      </c>
      <c r="M324" t="inlineStr">
        <is>
          <t>Wilkins, Ernest Hatch, 1880-1966 editor.</t>
        </is>
      </c>
      <c r="N324" t="inlineStr">
        <is>
          <t>Boston, New York [etc.] D. C. Heath &amp; Co. [c1912]</t>
        </is>
      </c>
      <c r="O324" t="inlineStr">
        <is>
          <t>1912</t>
        </is>
      </c>
      <c r="Q324" t="inlineStr">
        <is>
          <t>eng</t>
        </is>
      </c>
      <c r="R324" t="inlineStr">
        <is>
          <t>mau</t>
        </is>
      </c>
      <c r="S324" t="inlineStr">
        <is>
          <t>Heath's modern language series</t>
        </is>
      </c>
      <c r="T324" t="inlineStr">
        <is>
          <t xml:space="preserve">PQ </t>
        </is>
      </c>
      <c r="U324" t="n">
        <v>2</v>
      </c>
      <c r="V324" t="n">
        <v>2</v>
      </c>
      <c r="W324" t="inlineStr">
        <is>
          <t>2005-07-05</t>
        </is>
      </c>
      <c r="X324" t="inlineStr">
        <is>
          <t>2005-07-05</t>
        </is>
      </c>
      <c r="Y324" t="inlineStr">
        <is>
          <t>1997-07-30</t>
        </is>
      </c>
      <c r="Z324" t="inlineStr">
        <is>
          <t>1997-07-30</t>
        </is>
      </c>
      <c r="AA324" t="n">
        <v>182</v>
      </c>
      <c r="AB324" t="n">
        <v>172</v>
      </c>
      <c r="AC324" t="n">
        <v>181</v>
      </c>
      <c r="AD324" t="n">
        <v>5</v>
      </c>
      <c r="AE324" t="n">
        <v>5</v>
      </c>
      <c r="AF324" t="n">
        <v>14</v>
      </c>
      <c r="AG324" t="n">
        <v>14</v>
      </c>
      <c r="AH324" t="n">
        <v>5</v>
      </c>
      <c r="AI324" t="n">
        <v>5</v>
      </c>
      <c r="AJ324" t="n">
        <v>3</v>
      </c>
      <c r="AK324" t="n">
        <v>3</v>
      </c>
      <c r="AL324" t="n">
        <v>4</v>
      </c>
      <c r="AM324" t="n">
        <v>4</v>
      </c>
      <c r="AN324" t="n">
        <v>4</v>
      </c>
      <c r="AO324" t="n">
        <v>4</v>
      </c>
      <c r="AP324" t="n">
        <v>0</v>
      </c>
      <c r="AQ324" t="n">
        <v>0</v>
      </c>
      <c r="AR324" t="inlineStr">
        <is>
          <t>Yes</t>
        </is>
      </c>
      <c r="AS324" t="inlineStr">
        <is>
          <t>Yes</t>
        </is>
      </c>
      <c r="AT324">
        <f>HYPERLINK("http://catalog.hathitrust.org/Record/006506492","HathiTrust Record")</f>
        <v/>
      </c>
      <c r="AU324">
        <f>HYPERLINK("https://creighton-primo.hosted.exlibrisgroup.com/primo-explore/search?tab=default_tab&amp;search_scope=EVERYTHING&amp;vid=01CRU&amp;lang=en_US&amp;offset=0&amp;query=any,contains,991003547459702656","Catalog Record")</f>
        <v/>
      </c>
      <c r="AV324">
        <f>HYPERLINK("http://www.worldcat.org/oclc/1114453","WorldCat Record")</f>
        <v/>
      </c>
      <c r="AW324" t="inlineStr">
        <is>
          <t>2005141:eng</t>
        </is>
      </c>
      <c r="AX324" t="inlineStr">
        <is>
          <t>1114453</t>
        </is>
      </c>
      <c r="AY324" t="inlineStr">
        <is>
          <t>991003547459702656</t>
        </is>
      </c>
      <c r="AZ324" t="inlineStr">
        <is>
          <t>991003547459702656</t>
        </is>
      </c>
      <c r="BA324" t="inlineStr">
        <is>
          <t>2267666160002656</t>
        </is>
      </c>
      <c r="BB324" t="inlineStr">
        <is>
          <t>BOOK</t>
        </is>
      </c>
      <c r="BE324" t="inlineStr">
        <is>
          <t>32285002798261</t>
        </is>
      </c>
      <c r="BF324" t="inlineStr">
        <is>
          <t>893881290</t>
        </is>
      </c>
    </row>
    <row r="325">
      <c r="A325" t="inlineStr">
        <is>
          <t>No</t>
        </is>
      </c>
      <c r="B325" t="inlineStr">
        <is>
          <t>CURAL</t>
        </is>
      </c>
      <c r="C325" t="inlineStr">
        <is>
          <t>SHELVES</t>
        </is>
      </c>
      <c r="D325" t="inlineStr">
        <is>
          <t>PQ4270.T43 A54 1988</t>
        </is>
      </c>
      <c r="E325" t="inlineStr">
        <is>
          <t>0                      PQ 4270000T  43                 A  54          1988</t>
        </is>
      </c>
      <c r="F325" t="inlineStr">
        <is>
          <t>Before the Knight's tale : imitation of classical epic in Boccaccio's Teseida / David Anderson.</t>
        </is>
      </c>
      <c r="H325" t="inlineStr">
        <is>
          <t>No</t>
        </is>
      </c>
      <c r="I325" t="inlineStr">
        <is>
          <t>1</t>
        </is>
      </c>
      <c r="J325" t="inlineStr">
        <is>
          <t>No</t>
        </is>
      </c>
      <c r="K325" t="inlineStr">
        <is>
          <t>No</t>
        </is>
      </c>
      <c r="L325" t="inlineStr">
        <is>
          <t>0</t>
        </is>
      </c>
      <c r="M325" t="inlineStr">
        <is>
          <t>Anderson, David, 1952-</t>
        </is>
      </c>
      <c r="N325" t="inlineStr">
        <is>
          <t>Philadelphia : University of Pennsylvania Press, c1988.</t>
        </is>
      </c>
      <c r="O325" t="inlineStr">
        <is>
          <t>1988</t>
        </is>
      </c>
      <c r="Q325" t="inlineStr">
        <is>
          <t>eng</t>
        </is>
      </c>
      <c r="R325" t="inlineStr">
        <is>
          <t>pau</t>
        </is>
      </c>
      <c r="S325" t="inlineStr">
        <is>
          <t>The Middle Ages</t>
        </is>
      </c>
      <c r="T325" t="inlineStr">
        <is>
          <t xml:space="preserve">PQ </t>
        </is>
      </c>
      <c r="U325" t="n">
        <v>2</v>
      </c>
      <c r="V325" t="n">
        <v>2</v>
      </c>
      <c r="W325" t="inlineStr">
        <is>
          <t>1993-12-06</t>
        </is>
      </c>
      <c r="X325" t="inlineStr">
        <is>
          <t>1993-12-06</t>
        </is>
      </c>
      <c r="Y325" t="inlineStr">
        <is>
          <t>1991-05-20</t>
        </is>
      </c>
      <c r="Z325" t="inlineStr">
        <is>
          <t>1991-05-20</t>
        </is>
      </c>
      <c r="AA325" t="n">
        <v>379</v>
      </c>
      <c r="AB325" t="n">
        <v>290</v>
      </c>
      <c r="AC325" t="n">
        <v>556</v>
      </c>
      <c r="AD325" t="n">
        <v>3</v>
      </c>
      <c r="AE325" t="n">
        <v>3</v>
      </c>
      <c r="AF325" t="n">
        <v>15</v>
      </c>
      <c r="AG325" t="n">
        <v>25</v>
      </c>
      <c r="AH325" t="n">
        <v>3</v>
      </c>
      <c r="AI325" t="n">
        <v>11</v>
      </c>
      <c r="AJ325" t="n">
        <v>5</v>
      </c>
      <c r="AK325" t="n">
        <v>8</v>
      </c>
      <c r="AL325" t="n">
        <v>10</v>
      </c>
      <c r="AM325" t="n">
        <v>14</v>
      </c>
      <c r="AN325" t="n">
        <v>2</v>
      </c>
      <c r="AO325" t="n">
        <v>2</v>
      </c>
      <c r="AP325" t="n">
        <v>0</v>
      </c>
      <c r="AQ325" t="n">
        <v>0</v>
      </c>
      <c r="AR325" t="inlineStr">
        <is>
          <t>No</t>
        </is>
      </c>
      <c r="AS325" t="inlineStr">
        <is>
          <t>Yes</t>
        </is>
      </c>
      <c r="AT325">
        <f>HYPERLINK("http://catalog.hathitrust.org/Record/000928779","HathiTrust Record")</f>
        <v/>
      </c>
      <c r="AU325">
        <f>HYPERLINK("https://creighton-primo.hosted.exlibrisgroup.com/primo-explore/search?tab=default_tab&amp;search_scope=EVERYTHING&amp;vid=01CRU&amp;lang=en_US&amp;offset=0&amp;query=any,contains,991001235559702656","Catalog Record")</f>
        <v/>
      </c>
      <c r="AV325">
        <f>HYPERLINK("http://www.worldcat.org/oclc/17550206","WorldCat Record")</f>
        <v/>
      </c>
      <c r="AW325" t="inlineStr">
        <is>
          <t>1011088:eng</t>
        </is>
      </c>
      <c r="AX325" t="inlineStr">
        <is>
          <t>17550206</t>
        </is>
      </c>
      <c r="AY325" t="inlineStr">
        <is>
          <t>991001235559702656</t>
        </is>
      </c>
      <c r="AZ325" t="inlineStr">
        <is>
          <t>991001235559702656</t>
        </is>
      </c>
      <c r="BA325" t="inlineStr">
        <is>
          <t>2262069490002656</t>
        </is>
      </c>
      <c r="BB325" t="inlineStr">
        <is>
          <t>BOOK</t>
        </is>
      </c>
      <c r="BD325" t="inlineStr">
        <is>
          <t>9780812281088</t>
        </is>
      </c>
      <c r="BE325" t="inlineStr">
        <is>
          <t>32285000597152</t>
        </is>
      </c>
      <c r="BF325" t="inlineStr">
        <is>
          <t>893231823</t>
        </is>
      </c>
    </row>
    <row r="326">
      <c r="A326" t="inlineStr">
        <is>
          <t>No</t>
        </is>
      </c>
      <c r="B326" t="inlineStr">
        <is>
          <t>CURAL</t>
        </is>
      </c>
      <c r="C326" t="inlineStr">
        <is>
          <t>SHELVES</t>
        </is>
      </c>
      <c r="D326" t="inlineStr">
        <is>
          <t>PQ4277 .M3</t>
        </is>
      </c>
      <c r="E326" t="inlineStr">
        <is>
          <t>0                      PQ 4277000M  3</t>
        </is>
      </c>
      <c r="F326" t="inlineStr">
        <is>
          <t>Boccaccio.</t>
        </is>
      </c>
      <c r="H326" t="inlineStr">
        <is>
          <t>No</t>
        </is>
      </c>
      <c r="I326" t="inlineStr">
        <is>
          <t>1</t>
        </is>
      </c>
      <c r="J326" t="inlineStr">
        <is>
          <t>No</t>
        </is>
      </c>
      <c r="K326" t="inlineStr">
        <is>
          <t>No</t>
        </is>
      </c>
      <c r="L326" t="inlineStr">
        <is>
          <t>0</t>
        </is>
      </c>
      <c r="M326" t="inlineStr">
        <is>
          <t>MacManus, Francis, 1909-1965.</t>
        </is>
      </c>
      <c r="N326" t="inlineStr">
        <is>
          <t>London, Sheed &amp; Ward, 1947.</t>
        </is>
      </c>
      <c r="O326" t="inlineStr">
        <is>
          <t>1947</t>
        </is>
      </c>
      <c r="Q326" t="inlineStr">
        <is>
          <t>eng</t>
        </is>
      </c>
      <c r="R326" t="inlineStr">
        <is>
          <t>enk</t>
        </is>
      </c>
      <c r="S326" t="inlineStr">
        <is>
          <t>Writers of the world series</t>
        </is>
      </c>
      <c r="T326" t="inlineStr">
        <is>
          <t xml:space="preserve">PQ </t>
        </is>
      </c>
      <c r="U326" t="n">
        <v>3</v>
      </c>
      <c r="V326" t="n">
        <v>3</v>
      </c>
      <c r="W326" t="inlineStr">
        <is>
          <t>1998-11-09</t>
        </is>
      </c>
      <c r="X326" t="inlineStr">
        <is>
          <t>1998-11-09</t>
        </is>
      </c>
      <c r="Y326" t="inlineStr">
        <is>
          <t>1997-07-30</t>
        </is>
      </c>
      <c r="Z326" t="inlineStr">
        <is>
          <t>1997-07-30</t>
        </is>
      </c>
      <c r="AA326" t="n">
        <v>248</v>
      </c>
      <c r="AB326" t="n">
        <v>188</v>
      </c>
      <c r="AC326" t="n">
        <v>546</v>
      </c>
      <c r="AD326" t="n">
        <v>2</v>
      </c>
      <c r="AE326" t="n">
        <v>4</v>
      </c>
      <c r="AF326" t="n">
        <v>9</v>
      </c>
      <c r="AG326" t="n">
        <v>35</v>
      </c>
      <c r="AH326" t="n">
        <v>4</v>
      </c>
      <c r="AI326" t="n">
        <v>14</v>
      </c>
      <c r="AJ326" t="n">
        <v>2</v>
      </c>
      <c r="AK326" t="n">
        <v>9</v>
      </c>
      <c r="AL326" t="n">
        <v>6</v>
      </c>
      <c r="AM326" t="n">
        <v>22</v>
      </c>
      <c r="AN326" t="n">
        <v>1</v>
      </c>
      <c r="AO326" t="n">
        <v>2</v>
      </c>
      <c r="AP326" t="n">
        <v>0</v>
      </c>
      <c r="AQ326" t="n">
        <v>0</v>
      </c>
      <c r="AR326" t="inlineStr">
        <is>
          <t>No</t>
        </is>
      </c>
      <c r="AS326" t="inlineStr">
        <is>
          <t>Yes</t>
        </is>
      </c>
      <c r="AT326">
        <f>HYPERLINK("http://catalog.hathitrust.org/Record/001218660","HathiTrust Record")</f>
        <v/>
      </c>
      <c r="AU326">
        <f>HYPERLINK("https://creighton-primo.hosted.exlibrisgroup.com/primo-explore/search?tab=default_tab&amp;search_scope=EVERYTHING&amp;vid=01CRU&amp;lang=en_US&amp;offset=0&amp;query=any,contains,991004048889702656","Catalog Record")</f>
        <v/>
      </c>
      <c r="AV326">
        <f>HYPERLINK("http://www.worldcat.org/oclc/2207617","WorldCat Record")</f>
        <v/>
      </c>
      <c r="AW326" t="inlineStr">
        <is>
          <t>2044301631:eng</t>
        </is>
      </c>
      <c r="AX326" t="inlineStr">
        <is>
          <t>2207617</t>
        </is>
      </c>
      <c r="AY326" t="inlineStr">
        <is>
          <t>991004048889702656</t>
        </is>
      </c>
      <c r="AZ326" t="inlineStr">
        <is>
          <t>991004048889702656</t>
        </is>
      </c>
      <c r="BA326" t="inlineStr">
        <is>
          <t>2261506670002656</t>
        </is>
      </c>
      <c r="BB326" t="inlineStr">
        <is>
          <t>BOOK</t>
        </is>
      </c>
      <c r="BE326" t="inlineStr">
        <is>
          <t>32285002798329</t>
        </is>
      </c>
      <c r="BF326" t="inlineStr">
        <is>
          <t>893411052</t>
        </is>
      </c>
    </row>
    <row r="327">
      <c r="A327" t="inlineStr">
        <is>
          <t>No</t>
        </is>
      </c>
      <c r="B327" t="inlineStr">
        <is>
          <t>CURAL</t>
        </is>
      </c>
      <c r="C327" t="inlineStr">
        <is>
          <t>SHELVES</t>
        </is>
      </c>
      <c r="D327" t="inlineStr">
        <is>
          <t>PQ4300.A4 S6</t>
        </is>
      </c>
      <c r="E327" t="inlineStr">
        <is>
          <t>0                      PQ 4300000A  4                  S  6</t>
        </is>
      </c>
      <c r="F327" t="inlineStr">
        <is>
          <t>My favourite passage from Dante, chosen and explained by the most distinguished Dante lovers of the world today; a compilation with an introduction by John T. Slattery.</t>
        </is>
      </c>
      <c r="H327" t="inlineStr">
        <is>
          <t>No</t>
        </is>
      </c>
      <c r="I327" t="inlineStr">
        <is>
          <t>1</t>
        </is>
      </c>
      <c r="J327" t="inlineStr">
        <is>
          <t>No</t>
        </is>
      </c>
      <c r="K327" t="inlineStr">
        <is>
          <t>No</t>
        </is>
      </c>
      <c r="L327" t="inlineStr">
        <is>
          <t>0</t>
        </is>
      </c>
      <c r="M327" t="inlineStr">
        <is>
          <t>Dante Alighieri, 1265-1321.</t>
        </is>
      </c>
      <c r="N327" t="inlineStr">
        <is>
          <t>New York, The Devin-Adair company [c1928]</t>
        </is>
      </c>
      <c r="O327" t="inlineStr">
        <is>
          <t>1928</t>
        </is>
      </c>
      <c r="Q327" t="inlineStr">
        <is>
          <t>eng</t>
        </is>
      </c>
      <c r="R327" t="inlineStr">
        <is>
          <t>nyu</t>
        </is>
      </c>
      <c r="T327" t="inlineStr">
        <is>
          <t xml:space="preserve">PQ </t>
        </is>
      </c>
      <c r="U327" t="n">
        <v>1</v>
      </c>
      <c r="V327" t="n">
        <v>1</v>
      </c>
      <c r="W327" t="inlineStr">
        <is>
          <t>2004-03-24</t>
        </is>
      </c>
      <c r="X327" t="inlineStr">
        <is>
          <t>2004-03-24</t>
        </is>
      </c>
      <c r="Y327" t="inlineStr">
        <is>
          <t>1997-07-30</t>
        </is>
      </c>
      <c r="Z327" t="inlineStr">
        <is>
          <t>1997-07-30</t>
        </is>
      </c>
      <c r="AA327" t="n">
        <v>116</v>
      </c>
      <c r="AB327" t="n">
        <v>111</v>
      </c>
      <c r="AC327" t="n">
        <v>160</v>
      </c>
      <c r="AD327" t="n">
        <v>2</v>
      </c>
      <c r="AE327" t="n">
        <v>2</v>
      </c>
      <c r="AF327" t="n">
        <v>16</v>
      </c>
      <c r="AG327" t="n">
        <v>18</v>
      </c>
      <c r="AH327" t="n">
        <v>2</v>
      </c>
      <c r="AI327" t="n">
        <v>2</v>
      </c>
      <c r="AJ327" t="n">
        <v>4</v>
      </c>
      <c r="AK327" t="n">
        <v>4</v>
      </c>
      <c r="AL327" t="n">
        <v>14</v>
      </c>
      <c r="AM327" t="n">
        <v>16</v>
      </c>
      <c r="AN327" t="n">
        <v>1</v>
      </c>
      <c r="AO327" t="n">
        <v>1</v>
      </c>
      <c r="AP327" t="n">
        <v>0</v>
      </c>
      <c r="AQ327" t="n">
        <v>0</v>
      </c>
      <c r="AR327" t="inlineStr">
        <is>
          <t>No</t>
        </is>
      </c>
      <c r="AS327" t="inlineStr">
        <is>
          <t>No</t>
        </is>
      </c>
      <c r="AT327">
        <f>HYPERLINK("http://catalog.hathitrust.org/Record/102044253","HathiTrust Record")</f>
        <v/>
      </c>
      <c r="AU327">
        <f>HYPERLINK("https://creighton-primo.hosted.exlibrisgroup.com/primo-explore/search?tab=default_tab&amp;search_scope=EVERYTHING&amp;vid=01CRU&amp;lang=en_US&amp;offset=0&amp;query=any,contains,991004303589702656","Catalog Record")</f>
        <v/>
      </c>
      <c r="AV327">
        <f>HYPERLINK("http://www.worldcat.org/oclc/2975472","WorldCat Record")</f>
        <v/>
      </c>
      <c r="AW327" t="inlineStr">
        <is>
          <t>3855854717:eng</t>
        </is>
      </c>
      <c r="AX327" t="inlineStr">
        <is>
          <t>2975472</t>
        </is>
      </c>
      <c r="AY327" t="inlineStr">
        <is>
          <t>991004303589702656</t>
        </is>
      </c>
      <c r="AZ327" t="inlineStr">
        <is>
          <t>991004303589702656</t>
        </is>
      </c>
      <c r="BA327" t="inlineStr">
        <is>
          <t>2264415750002656</t>
        </is>
      </c>
      <c r="BB327" t="inlineStr">
        <is>
          <t>BOOK</t>
        </is>
      </c>
      <c r="BE327" t="inlineStr">
        <is>
          <t>32285002798352</t>
        </is>
      </c>
      <c r="BF327" t="inlineStr">
        <is>
          <t>893624565</t>
        </is>
      </c>
    </row>
    <row r="328">
      <c r="A328" t="inlineStr">
        <is>
          <t>No</t>
        </is>
      </c>
      <c r="B328" t="inlineStr">
        <is>
          <t>CURAL</t>
        </is>
      </c>
      <c r="C328" t="inlineStr">
        <is>
          <t>SHELVES</t>
        </is>
      </c>
      <c r="D328" t="inlineStr">
        <is>
          <t>PQ4303 .U54</t>
        </is>
      </c>
      <c r="E328" t="inlineStr">
        <is>
          <t>0                      PQ 4303000U  54</t>
        </is>
      </c>
      <c r="F328" t="inlineStr">
        <is>
          <t>Stories from Dante, by Norley Chester [pseud.] ...</t>
        </is>
      </c>
      <c r="H328" t="inlineStr">
        <is>
          <t>No</t>
        </is>
      </c>
      <c r="I328" t="inlineStr">
        <is>
          <t>1</t>
        </is>
      </c>
      <c r="J328" t="inlineStr">
        <is>
          <t>No</t>
        </is>
      </c>
      <c r="K328" t="inlineStr">
        <is>
          <t>No</t>
        </is>
      </c>
      <c r="L328" t="inlineStr">
        <is>
          <t>0</t>
        </is>
      </c>
      <c r="M328" t="inlineStr">
        <is>
          <t>Underdown, Emily.</t>
        </is>
      </c>
      <c r="N328" t="inlineStr">
        <is>
          <t>London, New York, F. Warne and Co., 1898.</t>
        </is>
      </c>
      <c r="O328" t="inlineStr">
        <is>
          <t>1898</t>
        </is>
      </c>
      <c r="Q328" t="inlineStr">
        <is>
          <t>eng</t>
        </is>
      </c>
      <c r="R328" t="inlineStr">
        <is>
          <t>enk</t>
        </is>
      </c>
      <c r="T328" t="inlineStr">
        <is>
          <t xml:space="preserve">PQ </t>
        </is>
      </c>
      <c r="U328" t="n">
        <v>2</v>
      </c>
      <c r="V328" t="n">
        <v>2</v>
      </c>
      <c r="W328" t="inlineStr">
        <is>
          <t>1997-10-15</t>
        </is>
      </c>
      <c r="X328" t="inlineStr">
        <is>
          <t>1997-10-15</t>
        </is>
      </c>
      <c r="Y328" t="inlineStr">
        <is>
          <t>1997-07-30</t>
        </is>
      </c>
      <c r="Z328" t="inlineStr">
        <is>
          <t>1997-07-30</t>
        </is>
      </c>
      <c r="AA328" t="n">
        <v>51</v>
      </c>
      <c r="AB328" t="n">
        <v>43</v>
      </c>
      <c r="AC328" t="n">
        <v>49</v>
      </c>
      <c r="AD328" t="n">
        <v>1</v>
      </c>
      <c r="AE328" t="n">
        <v>1</v>
      </c>
      <c r="AF328" t="n">
        <v>3</v>
      </c>
      <c r="AG328" t="n">
        <v>3</v>
      </c>
      <c r="AH328" t="n">
        <v>1</v>
      </c>
      <c r="AI328" t="n">
        <v>1</v>
      </c>
      <c r="AJ328" t="n">
        <v>1</v>
      </c>
      <c r="AK328" t="n">
        <v>1</v>
      </c>
      <c r="AL328" t="n">
        <v>3</v>
      </c>
      <c r="AM328" t="n">
        <v>3</v>
      </c>
      <c r="AN328" t="n">
        <v>0</v>
      </c>
      <c r="AO328" t="n">
        <v>0</v>
      </c>
      <c r="AP328" t="n">
        <v>0</v>
      </c>
      <c r="AQ328" t="n">
        <v>0</v>
      </c>
      <c r="AR328" t="inlineStr">
        <is>
          <t>Yes</t>
        </is>
      </c>
      <c r="AS328" t="inlineStr">
        <is>
          <t>No</t>
        </is>
      </c>
      <c r="AT328">
        <f>HYPERLINK("http://catalog.hathitrust.org/Record/100390101","HathiTrust Record")</f>
        <v/>
      </c>
      <c r="AU328">
        <f>HYPERLINK("https://creighton-primo.hosted.exlibrisgroup.com/primo-explore/search?tab=default_tab&amp;search_scope=EVERYTHING&amp;vid=01CRU&amp;lang=en_US&amp;offset=0&amp;query=any,contains,991004295259702656","Catalog Record")</f>
        <v/>
      </c>
      <c r="AV328">
        <f>HYPERLINK("http://www.worldcat.org/oclc/2963358","WorldCat Record")</f>
        <v/>
      </c>
      <c r="AW328" t="inlineStr">
        <is>
          <t>6566881:eng</t>
        </is>
      </c>
      <c r="AX328" t="inlineStr">
        <is>
          <t>2963358</t>
        </is>
      </c>
      <c r="AY328" t="inlineStr">
        <is>
          <t>991004295259702656</t>
        </is>
      </c>
      <c r="AZ328" t="inlineStr">
        <is>
          <t>991004295259702656</t>
        </is>
      </c>
      <c r="BA328" t="inlineStr">
        <is>
          <t>2271111500002656</t>
        </is>
      </c>
      <c r="BB328" t="inlineStr">
        <is>
          <t>BOOK</t>
        </is>
      </c>
      <c r="BE328" t="inlineStr">
        <is>
          <t>32285002798386</t>
        </is>
      </c>
      <c r="BF328" t="inlineStr">
        <is>
          <t>893423628</t>
        </is>
      </c>
    </row>
    <row r="329">
      <c r="A329" t="inlineStr">
        <is>
          <t>No</t>
        </is>
      </c>
      <c r="B329" t="inlineStr">
        <is>
          <t>CURAL</t>
        </is>
      </c>
      <c r="C329" t="inlineStr">
        <is>
          <t>SHELVES</t>
        </is>
      </c>
      <c r="D329" t="inlineStr">
        <is>
          <t>PQ4328.E5 C8 1965a</t>
        </is>
      </c>
      <c r="E329" t="inlineStr">
        <is>
          <t>0                      PQ 4328000E  5                  C  8           1965a</t>
        </is>
      </c>
      <c r="F329" t="inlineStr">
        <is>
          <t>The Divine comedy in English : a critical bibliography, 1782-1900 / Gilbert F. Cunningham.</t>
        </is>
      </c>
      <c r="H329" t="inlineStr">
        <is>
          <t>No</t>
        </is>
      </c>
      <c r="I329" t="inlineStr">
        <is>
          <t>1</t>
        </is>
      </c>
      <c r="J329" t="inlineStr">
        <is>
          <t>No</t>
        </is>
      </c>
      <c r="K329" t="inlineStr">
        <is>
          <t>No</t>
        </is>
      </c>
      <c r="L329" t="inlineStr">
        <is>
          <t>0</t>
        </is>
      </c>
      <c r="M329" t="inlineStr">
        <is>
          <t>Cunningham, Gilbert F. (Gilbert Farm)</t>
        </is>
      </c>
      <c r="N329" t="inlineStr">
        <is>
          <t>New York : Barnes &amp; Noble, 1965.</t>
        </is>
      </c>
      <c r="O329" t="inlineStr">
        <is>
          <t>1965</t>
        </is>
      </c>
      <c r="Q329" t="inlineStr">
        <is>
          <t>eng</t>
        </is>
      </c>
      <c r="R329" t="inlineStr">
        <is>
          <t>nyu</t>
        </is>
      </c>
      <c r="T329" t="inlineStr">
        <is>
          <t xml:space="preserve">PQ </t>
        </is>
      </c>
      <c r="U329" t="n">
        <v>4</v>
      </c>
      <c r="V329" t="n">
        <v>4</v>
      </c>
      <c r="W329" t="inlineStr">
        <is>
          <t>1997-11-18</t>
        </is>
      </c>
      <c r="X329" t="inlineStr">
        <is>
          <t>1997-11-18</t>
        </is>
      </c>
      <c r="Y329" t="inlineStr">
        <is>
          <t>1994-12-20</t>
        </is>
      </c>
      <c r="Z329" t="inlineStr">
        <is>
          <t>1994-12-20</t>
        </is>
      </c>
      <c r="AA329" t="n">
        <v>136</v>
      </c>
      <c r="AB329" t="n">
        <v>122</v>
      </c>
      <c r="AC329" t="n">
        <v>612</v>
      </c>
      <c r="AD329" t="n">
        <v>2</v>
      </c>
      <c r="AE329" t="n">
        <v>4</v>
      </c>
      <c r="AF329" t="n">
        <v>11</v>
      </c>
      <c r="AG329" t="n">
        <v>36</v>
      </c>
      <c r="AH329" t="n">
        <v>4</v>
      </c>
      <c r="AI329" t="n">
        <v>12</v>
      </c>
      <c r="AJ329" t="n">
        <v>4</v>
      </c>
      <c r="AK329" t="n">
        <v>10</v>
      </c>
      <c r="AL329" t="n">
        <v>5</v>
      </c>
      <c r="AM329" t="n">
        <v>19</v>
      </c>
      <c r="AN329" t="n">
        <v>1</v>
      </c>
      <c r="AO329" t="n">
        <v>3</v>
      </c>
      <c r="AP329" t="n">
        <v>0</v>
      </c>
      <c r="AQ329" t="n">
        <v>0</v>
      </c>
      <c r="AR329" t="inlineStr">
        <is>
          <t>No</t>
        </is>
      </c>
      <c r="AS329" t="inlineStr">
        <is>
          <t>No</t>
        </is>
      </c>
      <c r="AU329">
        <f>HYPERLINK("https://creighton-primo.hosted.exlibrisgroup.com/primo-explore/search?tab=default_tab&amp;search_scope=EVERYTHING&amp;vid=01CRU&amp;lang=en_US&amp;offset=0&amp;query=any,contains,991005175639702656","Catalog Record")</f>
        <v/>
      </c>
      <c r="AV329">
        <f>HYPERLINK("http://www.worldcat.org/oclc/7922121","WorldCat Record")</f>
        <v/>
      </c>
      <c r="AW329" t="inlineStr">
        <is>
          <t>226612630:eng</t>
        </is>
      </c>
      <c r="AX329" t="inlineStr">
        <is>
          <t>7922121</t>
        </is>
      </c>
      <c r="AY329" t="inlineStr">
        <is>
          <t>991005175639702656</t>
        </is>
      </c>
      <c r="AZ329" t="inlineStr">
        <is>
          <t>991005175639702656</t>
        </is>
      </c>
      <c r="BA329" t="inlineStr">
        <is>
          <t>2259223840002656</t>
        </is>
      </c>
      <c r="BB329" t="inlineStr">
        <is>
          <t>BOOK</t>
        </is>
      </c>
      <c r="BE329" t="inlineStr">
        <is>
          <t>32285001984656</t>
        </is>
      </c>
      <c r="BF329" t="inlineStr">
        <is>
          <t>893795745</t>
        </is>
      </c>
    </row>
    <row r="330">
      <c r="A330" t="inlineStr">
        <is>
          <t>No</t>
        </is>
      </c>
      <c r="B330" t="inlineStr">
        <is>
          <t>CURAL</t>
        </is>
      </c>
      <c r="C330" t="inlineStr">
        <is>
          <t>SHELVES</t>
        </is>
      </c>
      <c r="D330" t="inlineStr">
        <is>
          <t>PQ4335 .G3 1905</t>
        </is>
      </c>
      <c r="E330" t="inlineStr">
        <is>
          <t>0                      PQ 4335000G  3           1905</t>
        </is>
      </c>
      <c r="F330" t="inlineStr">
        <is>
          <t>Dante, by Edmund G. Gardner, M.A.</t>
        </is>
      </c>
      <c r="H330" t="inlineStr">
        <is>
          <t>No</t>
        </is>
      </c>
      <c r="I330" t="inlineStr">
        <is>
          <t>1</t>
        </is>
      </c>
      <c r="J330" t="inlineStr">
        <is>
          <t>No</t>
        </is>
      </c>
      <c r="K330" t="inlineStr">
        <is>
          <t>No</t>
        </is>
      </c>
      <c r="L330" t="inlineStr">
        <is>
          <t>0</t>
        </is>
      </c>
      <c r="M330" t="inlineStr">
        <is>
          <t>Gardner, Edmund G., 1869-1935.</t>
        </is>
      </c>
      <c r="N330" t="inlineStr">
        <is>
          <t>London, J.M. Dent &amp; co., 1905.</t>
        </is>
      </c>
      <c r="O330" t="inlineStr">
        <is>
          <t>1905</t>
        </is>
      </c>
      <c r="P330" t="inlineStr">
        <is>
          <t>4th ed.</t>
        </is>
      </c>
      <c r="Q330" t="inlineStr">
        <is>
          <t>eng</t>
        </is>
      </c>
      <c r="R330" t="inlineStr">
        <is>
          <t xml:space="preserve">xx </t>
        </is>
      </c>
      <c r="S330" t="inlineStr">
        <is>
          <t>The Temple primers</t>
        </is>
      </c>
      <c r="T330" t="inlineStr">
        <is>
          <t xml:space="preserve">PQ </t>
        </is>
      </c>
      <c r="U330" t="n">
        <v>7</v>
      </c>
      <c r="V330" t="n">
        <v>7</v>
      </c>
      <c r="W330" t="inlineStr">
        <is>
          <t>2003-09-15</t>
        </is>
      </c>
      <c r="X330" t="inlineStr">
        <is>
          <t>2003-09-15</t>
        </is>
      </c>
      <c r="Y330" t="inlineStr">
        <is>
          <t>1997-07-30</t>
        </is>
      </c>
      <c r="Z330" t="inlineStr">
        <is>
          <t>1997-07-30</t>
        </is>
      </c>
      <c r="AA330" t="n">
        <v>52</v>
      </c>
      <c r="AB330" t="n">
        <v>40</v>
      </c>
      <c r="AC330" t="n">
        <v>495</v>
      </c>
      <c r="AD330" t="n">
        <v>1</v>
      </c>
      <c r="AE330" t="n">
        <v>4</v>
      </c>
      <c r="AF330" t="n">
        <v>3</v>
      </c>
      <c r="AG330" t="n">
        <v>28</v>
      </c>
      <c r="AH330" t="n">
        <v>1</v>
      </c>
      <c r="AI330" t="n">
        <v>9</v>
      </c>
      <c r="AJ330" t="n">
        <v>1</v>
      </c>
      <c r="AK330" t="n">
        <v>5</v>
      </c>
      <c r="AL330" t="n">
        <v>2</v>
      </c>
      <c r="AM330" t="n">
        <v>16</v>
      </c>
      <c r="AN330" t="n">
        <v>0</v>
      </c>
      <c r="AO330" t="n">
        <v>3</v>
      </c>
      <c r="AP330" t="n">
        <v>0</v>
      </c>
      <c r="AQ330" t="n">
        <v>0</v>
      </c>
      <c r="AR330" t="inlineStr">
        <is>
          <t>Yes</t>
        </is>
      </c>
      <c r="AS330" t="inlineStr">
        <is>
          <t>No</t>
        </is>
      </c>
      <c r="AT330">
        <f>HYPERLINK("http://catalog.hathitrust.org/Record/100374003","HathiTrust Record")</f>
        <v/>
      </c>
      <c r="AU330">
        <f>HYPERLINK("https://creighton-primo.hosted.exlibrisgroup.com/primo-explore/search?tab=default_tab&amp;search_scope=EVERYTHING&amp;vid=01CRU&amp;lang=en_US&amp;offset=0&amp;query=any,contains,991003194929702656","Catalog Record")</f>
        <v/>
      </c>
      <c r="AV330">
        <f>HYPERLINK("http://www.worldcat.org/oclc/720318","WorldCat Record")</f>
        <v/>
      </c>
      <c r="AW330" t="inlineStr">
        <is>
          <t>1403084:eng</t>
        </is>
      </c>
      <c r="AX330" t="inlineStr">
        <is>
          <t>720318</t>
        </is>
      </c>
      <c r="AY330" t="inlineStr">
        <is>
          <t>991003194929702656</t>
        </is>
      </c>
      <c r="AZ330" t="inlineStr">
        <is>
          <t>991003194929702656</t>
        </is>
      </c>
      <c r="BA330" t="inlineStr">
        <is>
          <t>2256245160002656</t>
        </is>
      </c>
      <c r="BB330" t="inlineStr">
        <is>
          <t>BOOK</t>
        </is>
      </c>
      <c r="BE330" t="inlineStr">
        <is>
          <t>32285002798493</t>
        </is>
      </c>
      <c r="BF330" t="inlineStr">
        <is>
          <t>893617081</t>
        </is>
      </c>
    </row>
    <row r="331">
      <c r="A331" t="inlineStr">
        <is>
          <t>No</t>
        </is>
      </c>
      <c r="B331" t="inlineStr">
        <is>
          <t>CURAL</t>
        </is>
      </c>
      <c r="C331" t="inlineStr">
        <is>
          <t>SHELVES</t>
        </is>
      </c>
      <c r="D331" t="inlineStr">
        <is>
          <t>PQ4335 .S6</t>
        </is>
      </c>
      <c r="E331" t="inlineStr">
        <is>
          <t>0                      PQ 4335000S  6</t>
        </is>
      </c>
      <c r="F331" t="inlineStr">
        <is>
          <t>Dante, "the central man of all the world"; a course of lectures delivered before the student body of the New York state college for teachers, Albany, 1919, 1920, by John T. Slattery, PH. D.; with a preface by John H. Finley, L.H.D.</t>
        </is>
      </c>
      <c r="H331" t="inlineStr">
        <is>
          <t>No</t>
        </is>
      </c>
      <c r="I331" t="inlineStr">
        <is>
          <t>1</t>
        </is>
      </c>
      <c r="J331" t="inlineStr">
        <is>
          <t>No</t>
        </is>
      </c>
      <c r="K331" t="inlineStr">
        <is>
          <t>No</t>
        </is>
      </c>
      <c r="L331" t="inlineStr">
        <is>
          <t>0</t>
        </is>
      </c>
      <c r="M331" t="inlineStr">
        <is>
          <t>Slattery, John T. (John Theodore), 1866-1938.</t>
        </is>
      </c>
      <c r="N331" t="inlineStr">
        <is>
          <t>New York, P.J. Kenedy &amp; Sons, 1920.</t>
        </is>
      </c>
      <c r="O331" t="inlineStr">
        <is>
          <t>1920</t>
        </is>
      </c>
      <c r="Q331" t="inlineStr">
        <is>
          <t>eng</t>
        </is>
      </c>
      <c r="R331" t="inlineStr">
        <is>
          <t>nyu</t>
        </is>
      </c>
      <c r="T331" t="inlineStr">
        <is>
          <t xml:space="preserve">PQ </t>
        </is>
      </c>
      <c r="U331" t="n">
        <v>3</v>
      </c>
      <c r="V331" t="n">
        <v>3</v>
      </c>
      <c r="W331" t="inlineStr">
        <is>
          <t>2004-10-08</t>
        </is>
      </c>
      <c r="X331" t="inlineStr">
        <is>
          <t>2004-10-08</t>
        </is>
      </c>
      <c r="Y331" t="inlineStr">
        <is>
          <t>1997-07-30</t>
        </is>
      </c>
      <c r="Z331" t="inlineStr">
        <is>
          <t>1997-07-30</t>
        </is>
      </c>
      <c r="AA331" t="n">
        <v>203</v>
      </c>
      <c r="AB331" t="n">
        <v>190</v>
      </c>
      <c r="AC331" t="n">
        <v>240</v>
      </c>
      <c r="AD331" t="n">
        <v>2</v>
      </c>
      <c r="AE331" t="n">
        <v>3</v>
      </c>
      <c r="AF331" t="n">
        <v>23</v>
      </c>
      <c r="AG331" t="n">
        <v>26</v>
      </c>
      <c r="AH331" t="n">
        <v>8</v>
      </c>
      <c r="AI331" t="n">
        <v>9</v>
      </c>
      <c r="AJ331" t="n">
        <v>5</v>
      </c>
      <c r="AK331" t="n">
        <v>5</v>
      </c>
      <c r="AL331" t="n">
        <v>18</v>
      </c>
      <c r="AM331" t="n">
        <v>20</v>
      </c>
      <c r="AN331" t="n">
        <v>0</v>
      </c>
      <c r="AO331" t="n">
        <v>1</v>
      </c>
      <c r="AP331" t="n">
        <v>0</v>
      </c>
      <c r="AQ331" t="n">
        <v>0</v>
      </c>
      <c r="AR331" t="inlineStr">
        <is>
          <t>Yes</t>
        </is>
      </c>
      <c r="AS331" t="inlineStr">
        <is>
          <t>No</t>
        </is>
      </c>
      <c r="AT331">
        <f>HYPERLINK("http://catalog.hathitrust.org/Record/001226833","HathiTrust Record")</f>
        <v/>
      </c>
      <c r="AU331">
        <f>HYPERLINK("https://creighton-primo.hosted.exlibrisgroup.com/primo-explore/search?tab=default_tab&amp;search_scope=EVERYTHING&amp;vid=01CRU&amp;lang=en_US&amp;offset=0&amp;query=any,contains,991002231809702656","Catalog Record")</f>
        <v/>
      </c>
      <c r="AV331">
        <f>HYPERLINK("http://www.worldcat.org/oclc/294269","WorldCat Record")</f>
        <v/>
      </c>
      <c r="AW331" t="inlineStr">
        <is>
          <t>1487294:eng</t>
        </is>
      </c>
      <c r="AX331" t="inlineStr">
        <is>
          <t>294269</t>
        </is>
      </c>
      <c r="AY331" t="inlineStr">
        <is>
          <t>991002231809702656</t>
        </is>
      </c>
      <c r="AZ331" t="inlineStr">
        <is>
          <t>991002231809702656</t>
        </is>
      </c>
      <c r="BA331" t="inlineStr">
        <is>
          <t>2268357040002656</t>
        </is>
      </c>
      <c r="BB331" t="inlineStr">
        <is>
          <t>BOOK</t>
        </is>
      </c>
      <c r="BE331" t="inlineStr">
        <is>
          <t>32285002798527</t>
        </is>
      </c>
      <c r="BF331" t="inlineStr">
        <is>
          <t>893866952</t>
        </is>
      </c>
    </row>
    <row r="332">
      <c r="A332" t="inlineStr">
        <is>
          <t>No</t>
        </is>
      </c>
      <c r="B332" t="inlineStr">
        <is>
          <t>CURAL</t>
        </is>
      </c>
      <c r="C332" t="inlineStr">
        <is>
          <t>SHELVES</t>
        </is>
      </c>
      <c r="D332" t="inlineStr">
        <is>
          <t>PQ4339 .B453</t>
        </is>
      </c>
      <c r="E332" t="inlineStr">
        <is>
          <t>0                      PQ 4339000B  453</t>
        </is>
      </c>
      <c r="F332" t="inlineStr">
        <is>
          <t>Life of Dante; translated and edited by Paul Ruggiers.</t>
        </is>
      </c>
      <c r="H332" t="inlineStr">
        <is>
          <t>No</t>
        </is>
      </c>
      <c r="I332" t="inlineStr">
        <is>
          <t>1</t>
        </is>
      </c>
      <c r="J332" t="inlineStr">
        <is>
          <t>No</t>
        </is>
      </c>
      <c r="K332" t="inlineStr">
        <is>
          <t>No</t>
        </is>
      </c>
      <c r="L332" t="inlineStr">
        <is>
          <t>0</t>
        </is>
      </c>
      <c r="M332" t="inlineStr">
        <is>
          <t>Barbi, Michele, 1867-1941.</t>
        </is>
      </c>
      <c r="N332" t="inlineStr">
        <is>
          <t>Berkeley, University of California Press, 1954.</t>
        </is>
      </c>
      <c r="O332" t="inlineStr">
        <is>
          <t>1954</t>
        </is>
      </c>
      <c r="Q332" t="inlineStr">
        <is>
          <t>eng</t>
        </is>
      </c>
      <c r="R332" t="inlineStr">
        <is>
          <t>cau</t>
        </is>
      </c>
      <c r="T332" t="inlineStr">
        <is>
          <t xml:space="preserve">PQ </t>
        </is>
      </c>
      <c r="U332" t="n">
        <v>9</v>
      </c>
      <c r="V332" t="n">
        <v>9</v>
      </c>
      <c r="W332" t="inlineStr">
        <is>
          <t>2004-09-10</t>
        </is>
      </c>
      <c r="X332" t="inlineStr">
        <is>
          <t>2004-09-10</t>
        </is>
      </c>
      <c r="Y332" t="inlineStr">
        <is>
          <t>1997-07-30</t>
        </is>
      </c>
      <c r="Z332" t="inlineStr">
        <is>
          <t>1997-07-30</t>
        </is>
      </c>
      <c r="AA332" t="n">
        <v>797</v>
      </c>
      <c r="AB332" t="n">
        <v>738</v>
      </c>
      <c r="AC332" t="n">
        <v>918</v>
      </c>
      <c r="AD332" t="n">
        <v>5</v>
      </c>
      <c r="AE332" t="n">
        <v>7</v>
      </c>
      <c r="AF332" t="n">
        <v>39</v>
      </c>
      <c r="AG332" t="n">
        <v>44</v>
      </c>
      <c r="AH332" t="n">
        <v>16</v>
      </c>
      <c r="AI332" t="n">
        <v>19</v>
      </c>
      <c r="AJ332" t="n">
        <v>8</v>
      </c>
      <c r="AK332" t="n">
        <v>8</v>
      </c>
      <c r="AL332" t="n">
        <v>23</v>
      </c>
      <c r="AM332" t="n">
        <v>24</v>
      </c>
      <c r="AN332" t="n">
        <v>3</v>
      </c>
      <c r="AO332" t="n">
        <v>5</v>
      </c>
      <c r="AP332" t="n">
        <v>0</v>
      </c>
      <c r="AQ332" t="n">
        <v>0</v>
      </c>
      <c r="AR332" t="inlineStr">
        <is>
          <t>No</t>
        </is>
      </c>
      <c r="AS332" t="inlineStr">
        <is>
          <t>Yes</t>
        </is>
      </c>
      <c r="AT332">
        <f>HYPERLINK("http://catalog.hathitrust.org/Record/000869194","HathiTrust Record")</f>
        <v/>
      </c>
      <c r="AU332">
        <f>HYPERLINK("https://creighton-primo.hosted.exlibrisgroup.com/primo-explore/search?tab=default_tab&amp;search_scope=EVERYTHING&amp;vid=01CRU&amp;lang=en_US&amp;offset=0&amp;query=any,contains,991003988449702656","Catalog Record")</f>
        <v/>
      </c>
      <c r="AV332">
        <f>HYPERLINK("http://www.worldcat.org/oclc/2035788","WorldCat Record")</f>
        <v/>
      </c>
      <c r="AW332" t="inlineStr">
        <is>
          <t>8941148043:eng</t>
        </is>
      </c>
      <c r="AX332" t="inlineStr">
        <is>
          <t>2035788</t>
        </is>
      </c>
      <c r="AY332" t="inlineStr">
        <is>
          <t>991003988449702656</t>
        </is>
      </c>
      <c r="AZ332" t="inlineStr">
        <is>
          <t>991003988449702656</t>
        </is>
      </c>
      <c r="BA332" t="inlineStr">
        <is>
          <t>2266465230002656</t>
        </is>
      </c>
      <c r="BB332" t="inlineStr">
        <is>
          <t>BOOK</t>
        </is>
      </c>
      <c r="BE332" t="inlineStr">
        <is>
          <t>32285002798535</t>
        </is>
      </c>
      <c r="BF332" t="inlineStr">
        <is>
          <t>893712025</t>
        </is>
      </c>
    </row>
    <row r="333">
      <c r="A333" t="inlineStr">
        <is>
          <t>No</t>
        </is>
      </c>
      <c r="B333" t="inlineStr">
        <is>
          <t>CURAL</t>
        </is>
      </c>
      <c r="C333" t="inlineStr">
        <is>
          <t>SHELVES</t>
        </is>
      </c>
      <c r="D333" t="inlineStr">
        <is>
          <t>PQ4339 .C614</t>
        </is>
      </c>
      <c r="E333" t="inlineStr">
        <is>
          <t>0                      PQ 4339000C  614</t>
        </is>
      </c>
      <c r="F333" t="inlineStr">
        <is>
          <t>A handbook to Dante studies / translated by David Moore.</t>
        </is>
      </c>
      <c r="H333" t="inlineStr">
        <is>
          <t>No</t>
        </is>
      </c>
      <c r="I333" t="inlineStr">
        <is>
          <t>1</t>
        </is>
      </c>
      <c r="J333" t="inlineStr">
        <is>
          <t>No</t>
        </is>
      </c>
      <c r="K333" t="inlineStr">
        <is>
          <t>No</t>
        </is>
      </c>
      <c r="L333" t="inlineStr">
        <is>
          <t>0</t>
        </is>
      </c>
      <c r="M333" t="inlineStr">
        <is>
          <t>Cosmo, Umberto, 1868-1944.</t>
        </is>
      </c>
      <c r="N333" t="inlineStr">
        <is>
          <t>Oxford : Blackwell, 1950.</t>
        </is>
      </c>
      <c r="O333" t="inlineStr">
        <is>
          <t>1950</t>
        </is>
      </c>
      <c r="Q333" t="inlineStr">
        <is>
          <t>eng</t>
        </is>
      </c>
      <c r="R333" t="inlineStr">
        <is>
          <t xml:space="preserve">xx </t>
        </is>
      </c>
      <c r="T333" t="inlineStr">
        <is>
          <t xml:space="preserve">PQ </t>
        </is>
      </c>
      <c r="U333" t="n">
        <v>12</v>
      </c>
      <c r="V333" t="n">
        <v>12</v>
      </c>
      <c r="W333" t="inlineStr">
        <is>
          <t>2002-11-05</t>
        </is>
      </c>
      <c r="X333" t="inlineStr">
        <is>
          <t>2002-11-05</t>
        </is>
      </c>
      <c r="Y333" t="inlineStr">
        <is>
          <t>1993-11-11</t>
        </is>
      </c>
      <c r="Z333" t="inlineStr">
        <is>
          <t>1993-11-11</t>
        </is>
      </c>
      <c r="AA333" t="n">
        <v>299</v>
      </c>
      <c r="AB333" t="n">
        <v>225</v>
      </c>
      <c r="AC333" t="n">
        <v>434</v>
      </c>
      <c r="AD333" t="n">
        <v>3</v>
      </c>
      <c r="AE333" t="n">
        <v>5</v>
      </c>
      <c r="AF333" t="n">
        <v>19</v>
      </c>
      <c r="AG333" t="n">
        <v>30</v>
      </c>
      <c r="AH333" t="n">
        <v>5</v>
      </c>
      <c r="AI333" t="n">
        <v>10</v>
      </c>
      <c r="AJ333" t="n">
        <v>3</v>
      </c>
      <c r="AK333" t="n">
        <v>4</v>
      </c>
      <c r="AL333" t="n">
        <v>15</v>
      </c>
      <c r="AM333" t="n">
        <v>19</v>
      </c>
      <c r="AN333" t="n">
        <v>2</v>
      </c>
      <c r="AO333" t="n">
        <v>4</v>
      </c>
      <c r="AP333" t="n">
        <v>0</v>
      </c>
      <c r="AQ333" t="n">
        <v>0</v>
      </c>
      <c r="AR333" t="inlineStr">
        <is>
          <t>No</t>
        </is>
      </c>
      <c r="AS333" t="inlineStr">
        <is>
          <t>Yes</t>
        </is>
      </c>
      <c r="AT333">
        <f>HYPERLINK("http://catalog.hathitrust.org/Record/001226809","HathiTrust Record")</f>
        <v/>
      </c>
      <c r="AU333">
        <f>HYPERLINK("https://creighton-primo.hosted.exlibrisgroup.com/primo-explore/search?tab=default_tab&amp;search_scope=EVERYTHING&amp;vid=01CRU&amp;lang=en_US&amp;offset=0&amp;query=any,contains,991002325819702656","Catalog Record")</f>
        <v/>
      </c>
      <c r="AV333">
        <f>HYPERLINK("http://www.worldcat.org/oclc/320817","WorldCat Record")</f>
        <v/>
      </c>
      <c r="AW333" t="inlineStr">
        <is>
          <t>4241670069:eng</t>
        </is>
      </c>
      <c r="AX333" t="inlineStr">
        <is>
          <t>320817</t>
        </is>
      </c>
      <c r="AY333" t="inlineStr">
        <is>
          <t>991002325819702656</t>
        </is>
      </c>
      <c r="AZ333" t="inlineStr">
        <is>
          <t>991002325819702656</t>
        </is>
      </c>
      <c r="BA333" t="inlineStr">
        <is>
          <t>2255795000002656</t>
        </is>
      </c>
      <c r="BB333" t="inlineStr">
        <is>
          <t>BOOK</t>
        </is>
      </c>
      <c r="BE333" t="inlineStr">
        <is>
          <t>32285001798015</t>
        </is>
      </c>
      <c r="BF333" t="inlineStr">
        <is>
          <t>893445095</t>
        </is>
      </c>
    </row>
    <row r="334">
      <c r="A334" t="inlineStr">
        <is>
          <t>No</t>
        </is>
      </c>
      <c r="B334" t="inlineStr">
        <is>
          <t>CURAL</t>
        </is>
      </c>
      <c r="C334" t="inlineStr">
        <is>
          <t>SHELVES</t>
        </is>
      </c>
      <c r="D334" t="inlineStr">
        <is>
          <t>PQ434 .D4</t>
        </is>
      </c>
      <c r="E334" t="inlineStr">
        <is>
          <t>0                      PQ 0434000D  4</t>
        </is>
      </c>
      <c r="F334" t="inlineStr">
        <is>
          <t>Nineteenth-century French romantic poets / by Robert T. Denomme. With a pref. by Harry T. Moore.</t>
        </is>
      </c>
      <c r="H334" t="inlineStr">
        <is>
          <t>No</t>
        </is>
      </c>
      <c r="I334" t="inlineStr">
        <is>
          <t>1</t>
        </is>
      </c>
      <c r="J334" t="inlineStr">
        <is>
          <t>No</t>
        </is>
      </c>
      <c r="K334" t="inlineStr">
        <is>
          <t>No</t>
        </is>
      </c>
      <c r="L334" t="inlineStr">
        <is>
          <t>0</t>
        </is>
      </c>
      <c r="M334" t="inlineStr">
        <is>
          <t>Denommé, Robert Thomas.</t>
        </is>
      </c>
      <c r="N334" t="inlineStr">
        <is>
          <t>Carbondale : Southern Illinois University Press, c1969.</t>
        </is>
      </c>
      <c r="O334" t="inlineStr">
        <is>
          <t>1969</t>
        </is>
      </c>
      <c r="Q334" t="inlineStr">
        <is>
          <t>eng</t>
        </is>
      </c>
      <c r="R334" t="inlineStr">
        <is>
          <t>ilu</t>
        </is>
      </c>
      <c r="S334" t="inlineStr">
        <is>
          <t>Crosscurrents/modern critiques</t>
        </is>
      </c>
      <c r="T334" t="inlineStr">
        <is>
          <t xml:space="preserve">PQ </t>
        </is>
      </c>
      <c r="U334" t="n">
        <v>1</v>
      </c>
      <c r="V334" t="n">
        <v>1</v>
      </c>
      <c r="W334" t="inlineStr">
        <is>
          <t>1992-12-09</t>
        </is>
      </c>
      <c r="X334" t="inlineStr">
        <is>
          <t>1992-12-09</t>
        </is>
      </c>
      <c r="Y334" t="inlineStr">
        <is>
          <t>1992-12-09</t>
        </is>
      </c>
      <c r="Z334" t="inlineStr">
        <is>
          <t>1992-12-09</t>
        </is>
      </c>
      <c r="AA334" t="n">
        <v>926</v>
      </c>
      <c r="AB334" t="n">
        <v>825</v>
      </c>
      <c r="AC334" t="n">
        <v>831</v>
      </c>
      <c r="AD334" t="n">
        <v>11</v>
      </c>
      <c r="AE334" t="n">
        <v>11</v>
      </c>
      <c r="AF334" t="n">
        <v>43</v>
      </c>
      <c r="AG334" t="n">
        <v>43</v>
      </c>
      <c r="AH334" t="n">
        <v>14</v>
      </c>
      <c r="AI334" t="n">
        <v>14</v>
      </c>
      <c r="AJ334" t="n">
        <v>10</v>
      </c>
      <c r="AK334" t="n">
        <v>10</v>
      </c>
      <c r="AL334" t="n">
        <v>20</v>
      </c>
      <c r="AM334" t="n">
        <v>20</v>
      </c>
      <c r="AN334" t="n">
        <v>10</v>
      </c>
      <c r="AO334" t="n">
        <v>10</v>
      </c>
      <c r="AP334" t="n">
        <v>0</v>
      </c>
      <c r="AQ334" t="n">
        <v>0</v>
      </c>
      <c r="AR334" t="inlineStr">
        <is>
          <t>No</t>
        </is>
      </c>
      <c r="AS334" t="inlineStr">
        <is>
          <t>Yes</t>
        </is>
      </c>
      <c r="AT334">
        <f>HYPERLINK("http://catalog.hathitrust.org/Record/001014517","HathiTrust Record")</f>
        <v/>
      </c>
      <c r="AU334">
        <f>HYPERLINK("https://creighton-primo.hosted.exlibrisgroup.com/primo-explore/search?tab=default_tab&amp;search_scope=EVERYTHING&amp;vid=01CRU&amp;lang=en_US&amp;offset=0&amp;query=any,contains,991005436129702656","Catalog Record")</f>
        <v/>
      </c>
      <c r="AV334">
        <f>HYPERLINK("http://www.worldcat.org/oclc/4159","WorldCat Record")</f>
        <v/>
      </c>
      <c r="AW334" t="inlineStr">
        <is>
          <t>466815:eng</t>
        </is>
      </c>
      <c r="AX334" t="inlineStr">
        <is>
          <t>4159</t>
        </is>
      </c>
      <c r="AY334" t="inlineStr">
        <is>
          <t>991005436129702656</t>
        </is>
      </c>
      <c r="AZ334" t="inlineStr">
        <is>
          <t>991005436129702656</t>
        </is>
      </c>
      <c r="BA334" t="inlineStr">
        <is>
          <t>2266168780002656</t>
        </is>
      </c>
      <c r="BB334" t="inlineStr">
        <is>
          <t>BOOK</t>
        </is>
      </c>
      <c r="BE334" t="inlineStr">
        <is>
          <t>32285001440105</t>
        </is>
      </c>
      <c r="BF334" t="inlineStr">
        <is>
          <t>893236833</t>
        </is>
      </c>
    </row>
    <row r="335">
      <c r="A335" t="inlineStr">
        <is>
          <t>No</t>
        </is>
      </c>
      <c r="B335" t="inlineStr">
        <is>
          <t>CURAL</t>
        </is>
      </c>
      <c r="C335" t="inlineStr">
        <is>
          <t>SHELVES</t>
        </is>
      </c>
      <c r="D335" t="inlineStr">
        <is>
          <t>PQ438 .Q4 1970</t>
        </is>
      </c>
      <c r="E335" t="inlineStr">
        <is>
          <t>0                      PQ 0438000Q  4           1970</t>
        </is>
      </c>
      <c r="F335" t="inlineStr">
        <is>
          <t>Baudelaire and the symbolists : five essays / by Peter Quennell.</t>
        </is>
      </c>
      <c r="H335" t="inlineStr">
        <is>
          <t>No</t>
        </is>
      </c>
      <c r="I335" t="inlineStr">
        <is>
          <t>1</t>
        </is>
      </c>
      <c r="J335" t="inlineStr">
        <is>
          <t>No</t>
        </is>
      </c>
      <c r="K335" t="inlineStr">
        <is>
          <t>No</t>
        </is>
      </c>
      <c r="L335" t="inlineStr">
        <is>
          <t>0</t>
        </is>
      </c>
      <c r="M335" t="inlineStr">
        <is>
          <t>Quennell, Peter, 1905-1993.</t>
        </is>
      </c>
      <c r="N335" t="inlineStr">
        <is>
          <t>Port Washington, N.Y. : Kennikat Press, 1970.</t>
        </is>
      </c>
      <c r="O335" t="inlineStr">
        <is>
          <t>1970</t>
        </is>
      </c>
      <c r="Q335" t="inlineStr">
        <is>
          <t>eng</t>
        </is>
      </c>
      <c r="R335" t="inlineStr">
        <is>
          <t>nyu</t>
        </is>
      </c>
      <c r="S335" t="inlineStr">
        <is>
          <t>Essay and general literature index reprint series</t>
        </is>
      </c>
      <c r="T335" t="inlineStr">
        <is>
          <t xml:space="preserve">PQ </t>
        </is>
      </c>
      <c r="U335" t="n">
        <v>4</v>
      </c>
      <c r="V335" t="n">
        <v>4</v>
      </c>
      <c r="W335" t="inlineStr">
        <is>
          <t>1996-04-22</t>
        </is>
      </c>
      <c r="X335" t="inlineStr">
        <is>
          <t>1996-04-22</t>
        </is>
      </c>
      <c r="Y335" t="inlineStr">
        <is>
          <t>1992-08-04</t>
        </is>
      </c>
      <c r="Z335" t="inlineStr">
        <is>
          <t>1992-08-04</t>
        </is>
      </c>
      <c r="AA335" t="n">
        <v>278</v>
      </c>
      <c r="AB335" t="n">
        <v>254</v>
      </c>
      <c r="AC335" t="n">
        <v>370</v>
      </c>
      <c r="AD335" t="n">
        <v>4</v>
      </c>
      <c r="AE335" t="n">
        <v>4</v>
      </c>
      <c r="AF335" t="n">
        <v>10</v>
      </c>
      <c r="AG335" t="n">
        <v>14</v>
      </c>
      <c r="AH335" t="n">
        <v>3</v>
      </c>
      <c r="AI335" t="n">
        <v>5</v>
      </c>
      <c r="AJ335" t="n">
        <v>0</v>
      </c>
      <c r="AK335" t="n">
        <v>2</v>
      </c>
      <c r="AL335" t="n">
        <v>7</v>
      </c>
      <c r="AM335" t="n">
        <v>10</v>
      </c>
      <c r="AN335" t="n">
        <v>2</v>
      </c>
      <c r="AO335" t="n">
        <v>2</v>
      </c>
      <c r="AP335" t="n">
        <v>0</v>
      </c>
      <c r="AQ335" t="n">
        <v>0</v>
      </c>
      <c r="AR335" t="inlineStr">
        <is>
          <t>No</t>
        </is>
      </c>
      <c r="AS335" t="inlineStr">
        <is>
          <t>No</t>
        </is>
      </c>
      <c r="AU335">
        <f>HYPERLINK("https://creighton-primo.hosted.exlibrisgroup.com/primo-explore/search?tab=default_tab&amp;search_scope=EVERYTHING&amp;vid=01CRU&amp;lang=en_US&amp;offset=0&amp;query=any,contains,991000206869702656","Catalog Record")</f>
        <v/>
      </c>
      <c r="AV335">
        <f>HYPERLINK("http://www.worldcat.org/oclc/65453","WorldCat Record")</f>
        <v/>
      </c>
      <c r="AW335" t="inlineStr">
        <is>
          <t>3943393521:eng</t>
        </is>
      </c>
      <c r="AX335" t="inlineStr">
        <is>
          <t>65453</t>
        </is>
      </c>
      <c r="AY335" t="inlineStr">
        <is>
          <t>991000206869702656</t>
        </is>
      </c>
      <c r="AZ335" t="inlineStr">
        <is>
          <t>991000206869702656</t>
        </is>
      </c>
      <c r="BA335" t="inlineStr">
        <is>
          <t>2259294240002656</t>
        </is>
      </c>
      <c r="BB335" t="inlineStr">
        <is>
          <t>BOOK</t>
        </is>
      </c>
      <c r="BD335" t="inlineStr">
        <is>
          <t>9780804609357</t>
        </is>
      </c>
      <c r="BE335" t="inlineStr">
        <is>
          <t>32285001251064</t>
        </is>
      </c>
      <c r="BF335" t="inlineStr">
        <is>
          <t>893790338</t>
        </is>
      </c>
    </row>
    <row r="336">
      <c r="A336" t="inlineStr">
        <is>
          <t>No</t>
        </is>
      </c>
      <c r="B336" t="inlineStr">
        <is>
          <t>CURAL</t>
        </is>
      </c>
      <c r="C336" t="inlineStr">
        <is>
          <t>SHELVES</t>
        </is>
      </c>
      <c r="D336" t="inlineStr">
        <is>
          <t>PQ439 .C47</t>
        </is>
      </c>
      <c r="E336" t="inlineStr">
        <is>
          <t>0                      PQ 0439000C  47</t>
        </is>
      </c>
      <c r="F336" t="inlineStr">
        <is>
          <t>Symbolism / Charles Chadwick.</t>
        </is>
      </c>
      <c r="H336" t="inlineStr">
        <is>
          <t>No</t>
        </is>
      </c>
      <c r="I336" t="inlineStr">
        <is>
          <t>1</t>
        </is>
      </c>
      <c r="J336" t="inlineStr">
        <is>
          <t>No</t>
        </is>
      </c>
      <c r="K336" t="inlineStr">
        <is>
          <t>No</t>
        </is>
      </c>
      <c r="L336" t="inlineStr">
        <is>
          <t>0</t>
        </is>
      </c>
      <c r="M336" t="inlineStr">
        <is>
          <t>Chadwick, Charles.</t>
        </is>
      </c>
      <c r="N336" t="inlineStr">
        <is>
          <t>London : Methuen, 1971.</t>
        </is>
      </c>
      <c r="O336" t="inlineStr">
        <is>
          <t>1971</t>
        </is>
      </c>
      <c r="Q336" t="inlineStr">
        <is>
          <t>eng</t>
        </is>
      </c>
      <c r="R336" t="inlineStr">
        <is>
          <t>enk</t>
        </is>
      </c>
      <c r="S336" t="inlineStr">
        <is>
          <t>The critical idiom, 16</t>
        </is>
      </c>
      <c r="T336" t="inlineStr">
        <is>
          <t xml:space="preserve">PQ </t>
        </is>
      </c>
      <c r="U336" t="n">
        <v>6</v>
      </c>
      <c r="V336" t="n">
        <v>6</v>
      </c>
      <c r="W336" t="inlineStr">
        <is>
          <t>1998-12-12</t>
        </is>
      </c>
      <c r="X336" t="inlineStr">
        <is>
          <t>1998-12-12</t>
        </is>
      </c>
      <c r="Y336" t="inlineStr">
        <is>
          <t>1992-08-04</t>
        </is>
      </c>
      <c r="Z336" t="inlineStr">
        <is>
          <t>1992-08-04</t>
        </is>
      </c>
      <c r="AA336" t="n">
        <v>861</v>
      </c>
      <c r="AB336" t="n">
        <v>580</v>
      </c>
      <c r="AC336" t="n">
        <v>615</v>
      </c>
      <c r="AD336" t="n">
        <v>4</v>
      </c>
      <c r="AE336" t="n">
        <v>4</v>
      </c>
      <c r="AF336" t="n">
        <v>33</v>
      </c>
      <c r="AG336" t="n">
        <v>33</v>
      </c>
      <c r="AH336" t="n">
        <v>13</v>
      </c>
      <c r="AI336" t="n">
        <v>13</v>
      </c>
      <c r="AJ336" t="n">
        <v>8</v>
      </c>
      <c r="AK336" t="n">
        <v>8</v>
      </c>
      <c r="AL336" t="n">
        <v>18</v>
      </c>
      <c r="AM336" t="n">
        <v>18</v>
      </c>
      <c r="AN336" t="n">
        <v>3</v>
      </c>
      <c r="AO336" t="n">
        <v>3</v>
      </c>
      <c r="AP336" t="n">
        <v>0</v>
      </c>
      <c r="AQ336" t="n">
        <v>0</v>
      </c>
      <c r="AR336" t="inlineStr">
        <is>
          <t>No</t>
        </is>
      </c>
      <c r="AS336" t="inlineStr">
        <is>
          <t>Yes</t>
        </is>
      </c>
      <c r="AT336">
        <f>HYPERLINK("http://catalog.hathitrust.org/Record/001202513","HathiTrust Record")</f>
        <v/>
      </c>
      <c r="AU336">
        <f>HYPERLINK("https://creighton-primo.hosted.exlibrisgroup.com/primo-explore/search?tab=default_tab&amp;search_scope=EVERYTHING&amp;vid=01CRU&amp;lang=en_US&amp;offset=0&amp;query=any,contains,991001235229702656","Catalog Record")</f>
        <v/>
      </c>
      <c r="AV336">
        <f>HYPERLINK("http://www.worldcat.org/oclc/205591","WorldCat Record")</f>
        <v/>
      </c>
      <c r="AW336" t="inlineStr">
        <is>
          <t>574132:eng</t>
        </is>
      </c>
      <c r="AX336" t="inlineStr">
        <is>
          <t>205591</t>
        </is>
      </c>
      <c r="AY336" t="inlineStr">
        <is>
          <t>991001235229702656</t>
        </is>
      </c>
      <c r="AZ336" t="inlineStr">
        <is>
          <t>991001235229702656</t>
        </is>
      </c>
      <c r="BA336" t="inlineStr">
        <is>
          <t>2256817740002656</t>
        </is>
      </c>
      <c r="BB336" t="inlineStr">
        <is>
          <t>BOOK</t>
        </is>
      </c>
      <c r="BD336" t="inlineStr">
        <is>
          <t>9780416609004</t>
        </is>
      </c>
      <c r="BE336" t="inlineStr">
        <is>
          <t>32285001251072</t>
        </is>
      </c>
      <c r="BF336" t="inlineStr">
        <is>
          <t>893608685</t>
        </is>
      </c>
    </row>
    <row r="337">
      <c r="A337" t="inlineStr">
        <is>
          <t>No</t>
        </is>
      </c>
      <c r="B337" t="inlineStr">
        <is>
          <t>CURAL</t>
        </is>
      </c>
      <c r="C337" t="inlineStr">
        <is>
          <t>SHELVES</t>
        </is>
      </c>
      <c r="D337" t="inlineStr">
        <is>
          <t>PQ439 .C65 1970</t>
        </is>
      </c>
      <c r="E337" t="inlineStr">
        <is>
          <t>0                      PQ 0439000C  65          1970</t>
        </is>
      </c>
      <c r="F337" t="inlineStr">
        <is>
          <t>The symbolist movement / by Kenneth Cornell.</t>
        </is>
      </c>
      <c r="H337" t="inlineStr">
        <is>
          <t>No</t>
        </is>
      </c>
      <c r="I337" t="inlineStr">
        <is>
          <t>1</t>
        </is>
      </c>
      <c r="J337" t="inlineStr">
        <is>
          <t>No</t>
        </is>
      </c>
      <c r="K337" t="inlineStr">
        <is>
          <t>No</t>
        </is>
      </c>
      <c r="L337" t="inlineStr">
        <is>
          <t>0</t>
        </is>
      </c>
      <c r="M337" t="inlineStr">
        <is>
          <t>Cornell, William Kenneth.</t>
        </is>
      </c>
      <c r="N337" t="inlineStr">
        <is>
          <t>[Hamden, Conn.] : Archon Books, 1970 [c1951]</t>
        </is>
      </c>
      <c r="O337" t="inlineStr">
        <is>
          <t>1970</t>
        </is>
      </c>
      <c r="Q337" t="inlineStr">
        <is>
          <t>eng</t>
        </is>
      </c>
      <c r="R337" t="inlineStr">
        <is>
          <t>ctu</t>
        </is>
      </c>
      <c r="T337" t="inlineStr">
        <is>
          <t xml:space="preserve">PQ </t>
        </is>
      </c>
      <c r="U337" t="n">
        <v>2</v>
      </c>
      <c r="V337" t="n">
        <v>2</v>
      </c>
      <c r="W337" t="inlineStr">
        <is>
          <t>1996-04-22</t>
        </is>
      </c>
      <c r="X337" t="inlineStr">
        <is>
          <t>1996-04-22</t>
        </is>
      </c>
      <c r="Y337" t="inlineStr">
        <is>
          <t>1992-08-04</t>
        </is>
      </c>
      <c r="Z337" t="inlineStr">
        <is>
          <t>1992-08-04</t>
        </is>
      </c>
      <c r="AA337" t="n">
        <v>460</v>
      </c>
      <c r="AB337" t="n">
        <v>410</v>
      </c>
      <c r="AC337" t="n">
        <v>758</v>
      </c>
      <c r="AD337" t="n">
        <v>5</v>
      </c>
      <c r="AE337" t="n">
        <v>8</v>
      </c>
      <c r="AF337" t="n">
        <v>18</v>
      </c>
      <c r="AG337" t="n">
        <v>36</v>
      </c>
      <c r="AH337" t="n">
        <v>5</v>
      </c>
      <c r="AI337" t="n">
        <v>15</v>
      </c>
      <c r="AJ337" t="n">
        <v>5</v>
      </c>
      <c r="AK337" t="n">
        <v>7</v>
      </c>
      <c r="AL337" t="n">
        <v>7</v>
      </c>
      <c r="AM337" t="n">
        <v>14</v>
      </c>
      <c r="AN337" t="n">
        <v>4</v>
      </c>
      <c r="AO337" t="n">
        <v>7</v>
      </c>
      <c r="AP337" t="n">
        <v>0</v>
      </c>
      <c r="AQ337" t="n">
        <v>0</v>
      </c>
      <c r="AR337" t="inlineStr">
        <is>
          <t>No</t>
        </is>
      </c>
      <c r="AS337" t="inlineStr">
        <is>
          <t>No</t>
        </is>
      </c>
      <c r="AU337">
        <f>HYPERLINK("https://creighton-primo.hosted.exlibrisgroup.com/primo-explore/search?tab=default_tab&amp;search_scope=EVERYTHING&amp;vid=01CRU&amp;lang=en_US&amp;offset=0&amp;query=any,contains,991000604159702656","Catalog Record")</f>
        <v/>
      </c>
      <c r="AV337">
        <f>HYPERLINK("http://www.worldcat.org/oclc/98540","WorldCat Record")</f>
        <v/>
      </c>
      <c r="AW337" t="inlineStr">
        <is>
          <t>131534501:eng</t>
        </is>
      </c>
      <c r="AX337" t="inlineStr">
        <is>
          <t>98540</t>
        </is>
      </c>
      <c r="AY337" t="inlineStr">
        <is>
          <t>991000604159702656</t>
        </is>
      </c>
      <c r="AZ337" t="inlineStr">
        <is>
          <t>991000604159702656</t>
        </is>
      </c>
      <c r="BA337" t="inlineStr">
        <is>
          <t>2271949800002656</t>
        </is>
      </c>
      <c r="BB337" t="inlineStr">
        <is>
          <t>BOOK</t>
        </is>
      </c>
      <c r="BD337" t="inlineStr">
        <is>
          <t>9780208009470</t>
        </is>
      </c>
      <c r="BE337" t="inlineStr">
        <is>
          <t>32285001251171</t>
        </is>
      </c>
      <c r="BF337" t="inlineStr">
        <is>
          <t>893714728</t>
        </is>
      </c>
    </row>
    <row r="338">
      <c r="A338" t="inlineStr">
        <is>
          <t>No</t>
        </is>
      </c>
      <c r="B338" t="inlineStr">
        <is>
          <t>CURAL</t>
        </is>
      </c>
      <c r="C338" t="inlineStr">
        <is>
          <t>SHELVES</t>
        </is>
      </c>
      <c r="D338" t="inlineStr">
        <is>
          <t>PQ439 .L4 1978</t>
        </is>
      </c>
      <c r="E338" t="inlineStr">
        <is>
          <t>0                      PQ 0439000L  4           1978</t>
        </is>
      </c>
      <c r="F338" t="inlineStr">
        <is>
          <t>The rhumb line of symbolism : French poets from Sainte-Beuve to Valéry : presentation and selected texts / Laurent LeSage.</t>
        </is>
      </c>
      <c r="H338" t="inlineStr">
        <is>
          <t>No</t>
        </is>
      </c>
      <c r="I338" t="inlineStr">
        <is>
          <t>1</t>
        </is>
      </c>
      <c r="J338" t="inlineStr">
        <is>
          <t>No</t>
        </is>
      </c>
      <c r="K338" t="inlineStr">
        <is>
          <t>No</t>
        </is>
      </c>
      <c r="L338" t="inlineStr">
        <is>
          <t>0</t>
        </is>
      </c>
      <c r="M338" t="inlineStr">
        <is>
          <t>Le Sage, Laurent, 1913-2003.</t>
        </is>
      </c>
      <c r="N338" t="inlineStr">
        <is>
          <t>University Park : Pennsylvania State University Press, c1978.</t>
        </is>
      </c>
      <c r="O338" t="inlineStr">
        <is>
          <t>1978</t>
        </is>
      </c>
      <c r="Q338" t="inlineStr">
        <is>
          <t>eng</t>
        </is>
      </c>
      <c r="R338" t="inlineStr">
        <is>
          <t>pau</t>
        </is>
      </c>
      <c r="T338" t="inlineStr">
        <is>
          <t xml:space="preserve">PQ </t>
        </is>
      </c>
      <c r="U338" t="n">
        <v>1</v>
      </c>
      <c r="V338" t="n">
        <v>1</v>
      </c>
      <c r="W338" t="inlineStr">
        <is>
          <t>1995-04-23</t>
        </is>
      </c>
      <c r="X338" t="inlineStr">
        <is>
          <t>1995-04-23</t>
        </is>
      </c>
      <c r="Y338" t="inlineStr">
        <is>
          <t>1992-08-04</t>
        </is>
      </c>
      <c r="Z338" t="inlineStr">
        <is>
          <t>1992-08-04</t>
        </is>
      </c>
      <c r="AA338" t="n">
        <v>388</v>
      </c>
      <c r="AB338" t="n">
        <v>315</v>
      </c>
      <c r="AC338" t="n">
        <v>321</v>
      </c>
      <c r="AD338" t="n">
        <v>3</v>
      </c>
      <c r="AE338" t="n">
        <v>3</v>
      </c>
      <c r="AF338" t="n">
        <v>12</v>
      </c>
      <c r="AG338" t="n">
        <v>13</v>
      </c>
      <c r="AH338" t="n">
        <v>3</v>
      </c>
      <c r="AI338" t="n">
        <v>3</v>
      </c>
      <c r="AJ338" t="n">
        <v>3</v>
      </c>
      <c r="AK338" t="n">
        <v>4</v>
      </c>
      <c r="AL338" t="n">
        <v>5</v>
      </c>
      <c r="AM338" t="n">
        <v>6</v>
      </c>
      <c r="AN338" t="n">
        <v>2</v>
      </c>
      <c r="AO338" t="n">
        <v>2</v>
      </c>
      <c r="AP338" t="n">
        <v>0</v>
      </c>
      <c r="AQ338" t="n">
        <v>0</v>
      </c>
      <c r="AR338" t="inlineStr">
        <is>
          <t>No</t>
        </is>
      </c>
      <c r="AS338" t="inlineStr">
        <is>
          <t>Yes</t>
        </is>
      </c>
      <c r="AT338">
        <f>HYPERLINK("http://catalog.hathitrust.org/Record/000213953","HathiTrust Record")</f>
        <v/>
      </c>
      <c r="AU338">
        <f>HYPERLINK("https://creighton-primo.hosted.exlibrisgroup.com/primo-explore/search?tab=default_tab&amp;search_scope=EVERYTHING&amp;vid=01CRU&amp;lang=en_US&amp;offset=0&amp;query=any,contains,991004298749702656","Catalog Record")</f>
        <v/>
      </c>
      <c r="AV338">
        <f>HYPERLINK("http://www.worldcat.org/oclc/2966883","WorldCat Record")</f>
        <v/>
      </c>
      <c r="AW338" t="inlineStr">
        <is>
          <t>864112650:eng</t>
        </is>
      </c>
      <c r="AX338" t="inlineStr">
        <is>
          <t>2966883</t>
        </is>
      </c>
      <c r="AY338" t="inlineStr">
        <is>
          <t>991004298749702656</t>
        </is>
      </c>
      <c r="AZ338" t="inlineStr">
        <is>
          <t>991004298749702656</t>
        </is>
      </c>
      <c r="BA338" t="inlineStr">
        <is>
          <t>2267456500002656</t>
        </is>
      </c>
      <c r="BB338" t="inlineStr">
        <is>
          <t>BOOK</t>
        </is>
      </c>
      <c r="BD338" t="inlineStr">
        <is>
          <t>9780271005133</t>
        </is>
      </c>
      <c r="BE338" t="inlineStr">
        <is>
          <t>32285001251197</t>
        </is>
      </c>
      <c r="BF338" t="inlineStr">
        <is>
          <t>893810460</t>
        </is>
      </c>
    </row>
    <row r="339">
      <c r="A339" t="inlineStr">
        <is>
          <t>No</t>
        </is>
      </c>
      <c r="B339" t="inlineStr">
        <is>
          <t>CURAL</t>
        </is>
      </c>
      <c r="C339" t="inlineStr">
        <is>
          <t>SHELVES</t>
        </is>
      </c>
      <c r="D339" t="inlineStr">
        <is>
          <t>PQ4390 .A62</t>
        </is>
      </c>
      <c r="E339" t="inlineStr">
        <is>
          <t>0                      PQ 4390000A  62</t>
        </is>
      </c>
      <c r="F339" t="inlineStr">
        <is>
          <t>Dante the maker / William Anderson.</t>
        </is>
      </c>
      <c r="H339" t="inlineStr">
        <is>
          <t>No</t>
        </is>
      </c>
      <c r="I339" t="inlineStr">
        <is>
          <t>1</t>
        </is>
      </c>
      <c r="J339" t="inlineStr">
        <is>
          <t>No</t>
        </is>
      </c>
      <c r="K339" t="inlineStr">
        <is>
          <t>No</t>
        </is>
      </c>
      <c r="L339" t="inlineStr">
        <is>
          <t>0</t>
        </is>
      </c>
      <c r="M339" t="inlineStr">
        <is>
          <t>Anderson, William, 1935-</t>
        </is>
      </c>
      <c r="N339" t="inlineStr">
        <is>
          <t>London ; Boston : Routledge &amp; Kegan Paul, 1980.</t>
        </is>
      </c>
      <c r="O339" t="inlineStr">
        <is>
          <t>1979</t>
        </is>
      </c>
      <c r="Q339" t="inlineStr">
        <is>
          <t>eng</t>
        </is>
      </c>
      <c r="R339" t="inlineStr">
        <is>
          <t>enk</t>
        </is>
      </c>
      <c r="T339" t="inlineStr">
        <is>
          <t xml:space="preserve">PQ </t>
        </is>
      </c>
      <c r="U339" t="n">
        <v>5</v>
      </c>
      <c r="V339" t="n">
        <v>5</v>
      </c>
      <c r="W339" t="inlineStr">
        <is>
          <t>2003-06-12</t>
        </is>
      </c>
      <c r="X339" t="inlineStr">
        <is>
          <t>2003-06-12</t>
        </is>
      </c>
      <c r="Y339" t="inlineStr">
        <is>
          <t>1991-05-20</t>
        </is>
      </c>
      <c r="Z339" t="inlineStr">
        <is>
          <t>1991-05-20</t>
        </is>
      </c>
      <c r="AA339" t="n">
        <v>696</v>
      </c>
      <c r="AB339" t="n">
        <v>525</v>
      </c>
      <c r="AC339" t="n">
        <v>624</v>
      </c>
      <c r="AD339" t="n">
        <v>4</v>
      </c>
      <c r="AE339" t="n">
        <v>4</v>
      </c>
      <c r="AF339" t="n">
        <v>26</v>
      </c>
      <c r="AG339" t="n">
        <v>36</v>
      </c>
      <c r="AH339" t="n">
        <v>12</v>
      </c>
      <c r="AI339" t="n">
        <v>14</v>
      </c>
      <c r="AJ339" t="n">
        <v>6</v>
      </c>
      <c r="AK339" t="n">
        <v>10</v>
      </c>
      <c r="AL339" t="n">
        <v>12</v>
      </c>
      <c r="AM339" t="n">
        <v>19</v>
      </c>
      <c r="AN339" t="n">
        <v>3</v>
      </c>
      <c r="AO339" t="n">
        <v>3</v>
      </c>
      <c r="AP339" t="n">
        <v>0</v>
      </c>
      <c r="AQ339" t="n">
        <v>0</v>
      </c>
      <c r="AR339" t="inlineStr">
        <is>
          <t>No</t>
        </is>
      </c>
      <c r="AS339" t="inlineStr">
        <is>
          <t>Yes</t>
        </is>
      </c>
      <c r="AT339">
        <f>HYPERLINK("http://catalog.hathitrust.org/Record/000742750","HathiTrust Record")</f>
        <v/>
      </c>
      <c r="AU339">
        <f>HYPERLINK("https://creighton-primo.hosted.exlibrisgroup.com/primo-explore/search?tab=default_tab&amp;search_scope=EVERYTHING&amp;vid=01CRU&amp;lang=en_US&amp;offset=0&amp;query=any,contains,991004886069702656","Catalog Record")</f>
        <v/>
      </c>
      <c r="AV339">
        <f>HYPERLINK("http://www.worldcat.org/oclc/5831980","WorldCat Record")</f>
        <v/>
      </c>
      <c r="AW339" t="inlineStr">
        <is>
          <t>9367039:eng</t>
        </is>
      </c>
      <c r="AX339" t="inlineStr">
        <is>
          <t>5831980</t>
        </is>
      </c>
      <c r="AY339" t="inlineStr">
        <is>
          <t>991004886069702656</t>
        </is>
      </c>
      <c r="AZ339" t="inlineStr">
        <is>
          <t>991004886069702656</t>
        </is>
      </c>
      <c r="BA339" t="inlineStr">
        <is>
          <t>2256149630002656</t>
        </is>
      </c>
      <c r="BB339" t="inlineStr">
        <is>
          <t>BOOK</t>
        </is>
      </c>
      <c r="BD339" t="inlineStr">
        <is>
          <t>9780710003225</t>
        </is>
      </c>
      <c r="BE339" t="inlineStr">
        <is>
          <t>32285000597756</t>
        </is>
      </c>
      <c r="BF339" t="inlineStr">
        <is>
          <t>893260295</t>
        </is>
      </c>
    </row>
    <row r="340">
      <c r="A340" t="inlineStr">
        <is>
          <t>No</t>
        </is>
      </c>
      <c r="B340" t="inlineStr">
        <is>
          <t>CURAL</t>
        </is>
      </c>
      <c r="C340" t="inlineStr">
        <is>
          <t>SHELVES</t>
        </is>
      </c>
      <c r="D340" t="inlineStr">
        <is>
          <t>PQ4390 .B57</t>
        </is>
      </c>
      <c r="E340" t="inlineStr">
        <is>
          <t>0                      PQ 4390000B  57</t>
        </is>
      </c>
      <c r="F340" t="inlineStr">
        <is>
          <t>Il concetto della Divina commedia di Dante Alighieri / dimostrazione di Francesco Berardinelli.</t>
        </is>
      </c>
      <c r="H340" t="inlineStr">
        <is>
          <t>No</t>
        </is>
      </c>
      <c r="I340" t="inlineStr">
        <is>
          <t>1</t>
        </is>
      </c>
      <c r="J340" t="inlineStr">
        <is>
          <t>No</t>
        </is>
      </c>
      <c r="K340" t="inlineStr">
        <is>
          <t>No</t>
        </is>
      </c>
      <c r="L340" t="inlineStr">
        <is>
          <t>0</t>
        </is>
      </c>
      <c r="M340" t="inlineStr">
        <is>
          <t>Berardinelli, Francesco, 1816-</t>
        </is>
      </c>
      <c r="N340" t="inlineStr">
        <is>
          <t>Napilo : G. Rondinella, 1859.</t>
        </is>
      </c>
      <c r="O340" t="inlineStr">
        <is>
          <t>1859</t>
        </is>
      </c>
      <c r="Q340" t="inlineStr">
        <is>
          <t>ita</t>
        </is>
      </c>
      <c r="R340" t="inlineStr">
        <is>
          <t xml:space="preserve">it </t>
        </is>
      </c>
      <c r="T340" t="inlineStr">
        <is>
          <t xml:space="preserve">PQ </t>
        </is>
      </c>
      <c r="U340" t="n">
        <v>2</v>
      </c>
      <c r="V340" t="n">
        <v>2</v>
      </c>
      <c r="W340" t="inlineStr">
        <is>
          <t>2000-03-15</t>
        </is>
      </c>
      <c r="X340" t="inlineStr">
        <is>
          <t>2000-03-15</t>
        </is>
      </c>
      <c r="Y340" t="inlineStr">
        <is>
          <t>1997-07-30</t>
        </is>
      </c>
      <c r="Z340" t="inlineStr">
        <is>
          <t>1997-07-30</t>
        </is>
      </c>
      <c r="AA340" t="n">
        <v>26</v>
      </c>
      <c r="AB340" t="n">
        <v>19</v>
      </c>
      <c r="AC340" t="n">
        <v>26</v>
      </c>
      <c r="AD340" t="n">
        <v>1</v>
      </c>
      <c r="AE340" t="n">
        <v>1</v>
      </c>
      <c r="AF340" t="n">
        <v>0</v>
      </c>
      <c r="AG340" t="n">
        <v>0</v>
      </c>
      <c r="AH340" t="n">
        <v>0</v>
      </c>
      <c r="AI340" t="n">
        <v>0</v>
      </c>
      <c r="AJ340" t="n">
        <v>0</v>
      </c>
      <c r="AK340" t="n">
        <v>0</v>
      </c>
      <c r="AL340" t="n">
        <v>0</v>
      </c>
      <c r="AM340" t="n">
        <v>0</v>
      </c>
      <c r="AN340" t="n">
        <v>0</v>
      </c>
      <c r="AO340" t="n">
        <v>0</v>
      </c>
      <c r="AP340" t="n">
        <v>0</v>
      </c>
      <c r="AQ340" t="n">
        <v>0</v>
      </c>
      <c r="AR340" t="inlineStr">
        <is>
          <t>Yes</t>
        </is>
      </c>
      <c r="AS340" t="inlineStr">
        <is>
          <t>No</t>
        </is>
      </c>
      <c r="AT340">
        <f>HYPERLINK("http://catalog.hathitrust.org/Record/005265873","HathiTrust Record")</f>
        <v/>
      </c>
      <c r="AU340">
        <f>HYPERLINK("https://creighton-primo.hosted.exlibrisgroup.com/primo-explore/search?tab=default_tab&amp;search_scope=EVERYTHING&amp;vid=01CRU&amp;lang=en_US&amp;offset=0&amp;query=any,contains,991000899499702656","Catalog Record")</f>
        <v/>
      </c>
      <c r="AV340">
        <f>HYPERLINK("http://www.worldcat.org/oclc/14017092","WorldCat Record")</f>
        <v/>
      </c>
      <c r="AW340" t="inlineStr">
        <is>
          <t>368382703:ita</t>
        </is>
      </c>
      <c r="AX340" t="inlineStr">
        <is>
          <t>14017092</t>
        </is>
      </c>
      <c r="AY340" t="inlineStr">
        <is>
          <t>991000899499702656</t>
        </is>
      </c>
      <c r="AZ340" t="inlineStr">
        <is>
          <t>991000899499702656</t>
        </is>
      </c>
      <c r="BA340" t="inlineStr">
        <is>
          <t>2256541670002656</t>
        </is>
      </c>
      <c r="BB340" t="inlineStr">
        <is>
          <t>BOOK</t>
        </is>
      </c>
      <c r="BE340" t="inlineStr">
        <is>
          <t>32285002798576</t>
        </is>
      </c>
      <c r="BF340" t="inlineStr">
        <is>
          <t>893255840</t>
        </is>
      </c>
    </row>
    <row r="341">
      <c r="A341" t="inlineStr">
        <is>
          <t>No</t>
        </is>
      </c>
      <c r="B341" t="inlineStr">
        <is>
          <t>CURAL</t>
        </is>
      </c>
      <c r="C341" t="inlineStr">
        <is>
          <t>SHELVES</t>
        </is>
      </c>
      <c r="D341" t="inlineStr">
        <is>
          <t>PQ4390 .C9 1969</t>
        </is>
      </c>
      <c r="E341" t="inlineStr">
        <is>
          <t>0                      PQ 4390000C  9           1969</t>
        </is>
      </c>
      <c r="F341" t="inlineStr">
        <is>
          <t>A recall to Dante.</t>
        </is>
      </c>
      <c r="H341" t="inlineStr">
        <is>
          <t>No</t>
        </is>
      </c>
      <c r="I341" t="inlineStr">
        <is>
          <t>1</t>
        </is>
      </c>
      <c r="J341" t="inlineStr">
        <is>
          <t>No</t>
        </is>
      </c>
      <c r="K341" t="inlineStr">
        <is>
          <t>No</t>
        </is>
      </c>
      <c r="L341" t="inlineStr">
        <is>
          <t>0</t>
        </is>
      </c>
      <c r="M341" t="inlineStr">
        <is>
          <t>Curtayne, Alice.</t>
        </is>
      </c>
      <c r="N341" t="inlineStr">
        <is>
          <t>Port Washington, N.Y., Kennikat Press [1969]</t>
        </is>
      </c>
      <c r="O341" t="inlineStr">
        <is>
          <t>1969</t>
        </is>
      </c>
      <c r="Q341" t="inlineStr">
        <is>
          <t>eng</t>
        </is>
      </c>
      <c r="R341" t="inlineStr">
        <is>
          <t>nyu</t>
        </is>
      </c>
      <c r="T341" t="inlineStr">
        <is>
          <t xml:space="preserve">PQ </t>
        </is>
      </c>
      <c r="U341" t="n">
        <v>5</v>
      </c>
      <c r="V341" t="n">
        <v>5</v>
      </c>
      <c r="W341" t="inlineStr">
        <is>
          <t>1998-11-14</t>
        </is>
      </c>
      <c r="X341" t="inlineStr">
        <is>
          <t>1998-11-14</t>
        </is>
      </c>
      <c r="Y341" t="inlineStr">
        <is>
          <t>1997-07-30</t>
        </is>
      </c>
      <c r="Z341" t="inlineStr">
        <is>
          <t>1997-07-30</t>
        </is>
      </c>
      <c r="AA341" t="n">
        <v>175</v>
      </c>
      <c r="AB341" t="n">
        <v>160</v>
      </c>
      <c r="AC341" t="n">
        <v>325</v>
      </c>
      <c r="AD341" t="n">
        <v>1</v>
      </c>
      <c r="AE341" t="n">
        <v>2</v>
      </c>
      <c r="AF341" t="n">
        <v>4</v>
      </c>
      <c r="AG341" t="n">
        <v>24</v>
      </c>
      <c r="AH341" t="n">
        <v>1</v>
      </c>
      <c r="AI341" t="n">
        <v>6</v>
      </c>
      <c r="AJ341" t="n">
        <v>2</v>
      </c>
      <c r="AK341" t="n">
        <v>6</v>
      </c>
      <c r="AL341" t="n">
        <v>2</v>
      </c>
      <c r="AM341" t="n">
        <v>18</v>
      </c>
      <c r="AN341" t="n">
        <v>0</v>
      </c>
      <c r="AO341" t="n">
        <v>1</v>
      </c>
      <c r="AP341" t="n">
        <v>0</v>
      </c>
      <c r="AQ341" t="n">
        <v>0</v>
      </c>
      <c r="AR341" t="inlineStr">
        <is>
          <t>No</t>
        </is>
      </c>
      <c r="AS341" t="inlineStr">
        <is>
          <t>No</t>
        </is>
      </c>
      <c r="AU341">
        <f>HYPERLINK("https://creighton-primo.hosted.exlibrisgroup.com/primo-explore/search?tab=default_tab&amp;search_scope=EVERYTHING&amp;vid=01CRU&amp;lang=en_US&amp;offset=0&amp;query=any,contains,991000083839702656","Catalog Record")</f>
        <v/>
      </c>
      <c r="AV341">
        <f>HYPERLINK("http://www.worldcat.org/oclc/32645","WorldCat Record")</f>
        <v/>
      </c>
      <c r="AW341" t="inlineStr">
        <is>
          <t>1186848:eng</t>
        </is>
      </c>
      <c r="AX341" t="inlineStr">
        <is>
          <t>32645</t>
        </is>
      </c>
      <c r="AY341" t="inlineStr">
        <is>
          <t>991000083839702656</t>
        </is>
      </c>
      <c r="AZ341" t="inlineStr">
        <is>
          <t>991000083839702656</t>
        </is>
      </c>
      <c r="BA341" t="inlineStr">
        <is>
          <t>2258327220002656</t>
        </is>
      </c>
      <c r="BB341" t="inlineStr">
        <is>
          <t>BOOK</t>
        </is>
      </c>
      <c r="BD341" t="inlineStr">
        <is>
          <t>9780804606929</t>
        </is>
      </c>
      <c r="BE341" t="inlineStr">
        <is>
          <t>32285002798592</t>
        </is>
      </c>
      <c r="BF341" t="inlineStr">
        <is>
          <t>893425399</t>
        </is>
      </c>
    </row>
    <row r="342">
      <c r="A342" t="inlineStr">
        <is>
          <t>No</t>
        </is>
      </c>
      <c r="B342" t="inlineStr">
        <is>
          <t>CURAL</t>
        </is>
      </c>
      <c r="C342" t="inlineStr">
        <is>
          <t>SHELVES</t>
        </is>
      </c>
      <c r="D342" t="inlineStr">
        <is>
          <t>PQ4390 .F75</t>
        </is>
      </c>
      <c r="E342" t="inlineStr">
        <is>
          <t>0                      PQ 4390000F  75</t>
        </is>
      </c>
      <c r="F342" t="inlineStr">
        <is>
          <t>Dante lights the way.</t>
        </is>
      </c>
      <c r="H342" t="inlineStr">
        <is>
          <t>No</t>
        </is>
      </c>
      <c r="I342" t="inlineStr">
        <is>
          <t>1</t>
        </is>
      </c>
      <c r="J342" t="inlineStr">
        <is>
          <t>No</t>
        </is>
      </c>
      <c r="K342" t="inlineStr">
        <is>
          <t>No</t>
        </is>
      </c>
      <c r="L342" t="inlineStr">
        <is>
          <t>0</t>
        </is>
      </c>
      <c r="M342" t="inlineStr">
        <is>
          <t>Fox, Ruth Mary, 1891-</t>
        </is>
      </c>
      <c r="N342" t="inlineStr">
        <is>
          <t>Milwaukee, Bruce Pub. Co. [1958]</t>
        </is>
      </c>
      <c r="O342" t="inlineStr">
        <is>
          <t>1958</t>
        </is>
      </c>
      <c r="Q342" t="inlineStr">
        <is>
          <t>eng</t>
        </is>
      </c>
      <c r="R342" t="inlineStr">
        <is>
          <t>wiu</t>
        </is>
      </c>
      <c r="T342" t="inlineStr">
        <is>
          <t xml:space="preserve">PQ </t>
        </is>
      </c>
      <c r="U342" t="n">
        <v>3</v>
      </c>
      <c r="V342" t="n">
        <v>3</v>
      </c>
      <c r="W342" t="inlineStr">
        <is>
          <t>2003-12-01</t>
        </is>
      </c>
      <c r="X342" t="inlineStr">
        <is>
          <t>2003-12-01</t>
        </is>
      </c>
      <c r="Y342" t="inlineStr">
        <is>
          <t>1997-07-30</t>
        </is>
      </c>
      <c r="Z342" t="inlineStr">
        <is>
          <t>1997-07-30</t>
        </is>
      </c>
      <c r="AA342" t="n">
        <v>510</v>
      </c>
      <c r="AB342" t="n">
        <v>474</v>
      </c>
      <c r="AC342" t="n">
        <v>477</v>
      </c>
      <c r="AD342" t="n">
        <v>4</v>
      </c>
      <c r="AE342" t="n">
        <v>4</v>
      </c>
      <c r="AF342" t="n">
        <v>31</v>
      </c>
      <c r="AG342" t="n">
        <v>31</v>
      </c>
      <c r="AH342" t="n">
        <v>10</v>
      </c>
      <c r="AI342" t="n">
        <v>10</v>
      </c>
      <c r="AJ342" t="n">
        <v>8</v>
      </c>
      <c r="AK342" t="n">
        <v>8</v>
      </c>
      <c r="AL342" t="n">
        <v>23</v>
      </c>
      <c r="AM342" t="n">
        <v>23</v>
      </c>
      <c r="AN342" t="n">
        <v>1</v>
      </c>
      <c r="AO342" t="n">
        <v>1</v>
      </c>
      <c r="AP342" t="n">
        <v>0</v>
      </c>
      <c r="AQ342" t="n">
        <v>0</v>
      </c>
      <c r="AR342" t="inlineStr">
        <is>
          <t>No</t>
        </is>
      </c>
      <c r="AS342" t="inlineStr">
        <is>
          <t>Yes</t>
        </is>
      </c>
      <c r="AT342">
        <f>HYPERLINK("http://catalog.hathitrust.org/Record/100820310","HathiTrust Record")</f>
        <v/>
      </c>
      <c r="AU342">
        <f>HYPERLINK("https://creighton-primo.hosted.exlibrisgroup.com/primo-explore/search?tab=default_tab&amp;search_scope=EVERYTHING&amp;vid=01CRU&amp;lang=en_US&amp;offset=0&amp;query=any,contains,991001396079702656","Catalog Record")</f>
        <v/>
      </c>
      <c r="AV342">
        <f>HYPERLINK("http://www.worldcat.org/oclc/228569","WorldCat Record")</f>
        <v/>
      </c>
      <c r="AW342" t="inlineStr">
        <is>
          <t>1042372160:eng</t>
        </is>
      </c>
      <c r="AX342" t="inlineStr">
        <is>
          <t>228569</t>
        </is>
      </c>
      <c r="AY342" t="inlineStr">
        <is>
          <t>991001396079702656</t>
        </is>
      </c>
      <c r="AZ342" t="inlineStr">
        <is>
          <t>991001396079702656</t>
        </is>
      </c>
      <c r="BA342" t="inlineStr">
        <is>
          <t>2256871000002656</t>
        </is>
      </c>
      <c r="BB342" t="inlineStr">
        <is>
          <t>BOOK</t>
        </is>
      </c>
      <c r="BE342" t="inlineStr">
        <is>
          <t>32285002798634</t>
        </is>
      </c>
      <c r="BF342" t="inlineStr">
        <is>
          <t>893328117</t>
        </is>
      </c>
    </row>
    <row r="343">
      <c r="A343" t="inlineStr">
        <is>
          <t>No</t>
        </is>
      </c>
      <c r="B343" t="inlineStr">
        <is>
          <t>CURAL</t>
        </is>
      </c>
      <c r="C343" t="inlineStr">
        <is>
          <t>SHELVES</t>
        </is>
      </c>
      <c r="D343" t="inlineStr">
        <is>
          <t>PQ4390 .H65</t>
        </is>
      </c>
      <c r="E343" t="inlineStr">
        <is>
          <t>0                      PQ 4390000H  65</t>
        </is>
      </c>
      <c r="F343" t="inlineStr">
        <is>
          <t>Dante's divina commedia : its scope and value / from the German of Franz Hettinger ; edited by Henry Sebastian Bowden.</t>
        </is>
      </c>
      <c r="H343" t="inlineStr">
        <is>
          <t>No</t>
        </is>
      </c>
      <c r="I343" t="inlineStr">
        <is>
          <t>1</t>
        </is>
      </c>
      <c r="J343" t="inlineStr">
        <is>
          <t>No</t>
        </is>
      </c>
      <c r="K343" t="inlineStr">
        <is>
          <t>No</t>
        </is>
      </c>
      <c r="L343" t="inlineStr">
        <is>
          <t>0</t>
        </is>
      </c>
      <c r="M343" t="inlineStr">
        <is>
          <t>Hettinger, Franz, 1819-1890.</t>
        </is>
      </c>
      <c r="N343" t="inlineStr">
        <is>
          <t>London : Burns &amp; Oates, Ltd. ; New York : Benziger Brothers, 1894.</t>
        </is>
      </c>
      <c r="O343" t="inlineStr">
        <is>
          <t>1894</t>
        </is>
      </c>
      <c r="P343" t="inlineStr">
        <is>
          <t>2nd ed., revised.</t>
        </is>
      </c>
      <c r="Q343" t="inlineStr">
        <is>
          <t>eng</t>
        </is>
      </c>
      <c r="R343" t="inlineStr">
        <is>
          <t>enk</t>
        </is>
      </c>
      <c r="T343" t="inlineStr">
        <is>
          <t xml:space="preserve">PQ </t>
        </is>
      </c>
      <c r="U343" t="n">
        <v>6</v>
      </c>
      <c r="V343" t="n">
        <v>6</v>
      </c>
      <c r="W343" t="inlineStr">
        <is>
          <t>2002-11-19</t>
        </is>
      </c>
      <c r="X343" t="inlineStr">
        <is>
          <t>2002-11-19</t>
        </is>
      </c>
      <c r="Y343" t="inlineStr">
        <is>
          <t>1997-07-30</t>
        </is>
      </c>
      <c r="Z343" t="inlineStr">
        <is>
          <t>1997-07-30</t>
        </is>
      </c>
      <c r="AA343" t="n">
        <v>44</v>
      </c>
      <c r="AB343" t="n">
        <v>32</v>
      </c>
      <c r="AC343" t="n">
        <v>145</v>
      </c>
      <c r="AD343" t="n">
        <v>1</v>
      </c>
      <c r="AE343" t="n">
        <v>2</v>
      </c>
      <c r="AF343" t="n">
        <v>3</v>
      </c>
      <c r="AG343" t="n">
        <v>20</v>
      </c>
      <c r="AH343" t="n">
        <v>1</v>
      </c>
      <c r="AI343" t="n">
        <v>4</v>
      </c>
      <c r="AJ343" t="n">
        <v>0</v>
      </c>
      <c r="AK343" t="n">
        <v>5</v>
      </c>
      <c r="AL343" t="n">
        <v>3</v>
      </c>
      <c r="AM343" t="n">
        <v>18</v>
      </c>
      <c r="AN343" t="n">
        <v>0</v>
      </c>
      <c r="AO343" t="n">
        <v>1</v>
      </c>
      <c r="AP343" t="n">
        <v>0</v>
      </c>
      <c r="AQ343" t="n">
        <v>0</v>
      </c>
      <c r="AR343" t="inlineStr">
        <is>
          <t>Yes</t>
        </is>
      </c>
      <c r="AS343" t="inlineStr">
        <is>
          <t>No</t>
        </is>
      </c>
      <c r="AT343">
        <f>HYPERLINK("http://catalog.hathitrust.org/Record/008416148","HathiTrust Record")</f>
        <v/>
      </c>
      <c r="AU343">
        <f>HYPERLINK("https://creighton-primo.hosted.exlibrisgroup.com/primo-explore/search?tab=default_tab&amp;search_scope=EVERYTHING&amp;vid=01CRU&amp;lang=en_US&amp;offset=0&amp;query=any,contains,991001303969702656","Catalog Record")</f>
        <v/>
      </c>
      <c r="AV343">
        <f>HYPERLINK("http://www.worldcat.org/oclc/18089822","WorldCat Record")</f>
        <v/>
      </c>
      <c r="AW343" t="inlineStr">
        <is>
          <t>5631430:eng</t>
        </is>
      </c>
      <c r="AX343" t="inlineStr">
        <is>
          <t>18089822</t>
        </is>
      </c>
      <c r="AY343" t="inlineStr">
        <is>
          <t>991001303969702656</t>
        </is>
      </c>
      <c r="AZ343" t="inlineStr">
        <is>
          <t>991001303969702656</t>
        </is>
      </c>
      <c r="BA343" t="inlineStr">
        <is>
          <t>2271527060002656</t>
        </is>
      </c>
      <c r="BB343" t="inlineStr">
        <is>
          <t>BOOK</t>
        </is>
      </c>
      <c r="BE343" t="inlineStr">
        <is>
          <t>32285002798642</t>
        </is>
      </c>
      <c r="BF343" t="inlineStr">
        <is>
          <t>893315690</t>
        </is>
      </c>
    </row>
    <row r="344">
      <c r="A344" t="inlineStr">
        <is>
          <t>No</t>
        </is>
      </c>
      <c r="B344" t="inlineStr">
        <is>
          <t>CURAL</t>
        </is>
      </c>
      <c r="C344" t="inlineStr">
        <is>
          <t>SHELVES</t>
        </is>
      </c>
      <c r="D344" t="inlineStr">
        <is>
          <t>PQ4390 .V82 1958</t>
        </is>
      </c>
      <c r="E344" t="inlineStr">
        <is>
          <t>0                      PQ 4390000V  82          1958</t>
        </is>
      </c>
      <c r="F344" t="inlineStr">
        <is>
          <t>Mediaeval culture : an introduction to Dante and his times.</t>
        </is>
      </c>
      <c r="G344" t="inlineStr">
        <is>
          <t>V.2</t>
        </is>
      </c>
      <c r="H344" t="inlineStr">
        <is>
          <t>Yes</t>
        </is>
      </c>
      <c r="I344" t="inlineStr">
        <is>
          <t>1</t>
        </is>
      </c>
      <c r="J344" t="inlineStr">
        <is>
          <t>No</t>
        </is>
      </c>
      <c r="K344" t="inlineStr">
        <is>
          <t>No</t>
        </is>
      </c>
      <c r="L344" t="inlineStr">
        <is>
          <t>0</t>
        </is>
      </c>
      <c r="M344" t="inlineStr">
        <is>
          <t>Vossler, Karl, 1872-1949.</t>
        </is>
      </c>
      <c r="N344" t="inlineStr">
        <is>
          <t>New York : Ungar, [1958]</t>
        </is>
      </c>
      <c r="O344" t="inlineStr">
        <is>
          <t>1958</t>
        </is>
      </c>
      <c r="Q344" t="inlineStr">
        <is>
          <t>eng</t>
        </is>
      </c>
      <c r="R344" t="inlineStr">
        <is>
          <t>nyu</t>
        </is>
      </c>
      <c r="T344" t="inlineStr">
        <is>
          <t xml:space="preserve">PQ </t>
        </is>
      </c>
      <c r="U344" t="n">
        <v>8</v>
      </c>
      <c r="V344" t="n">
        <v>19</v>
      </c>
      <c r="W344" t="inlineStr">
        <is>
          <t>2000-03-15</t>
        </is>
      </c>
      <c r="X344" t="inlineStr">
        <is>
          <t>2005-10-23</t>
        </is>
      </c>
      <c r="Y344" t="inlineStr">
        <is>
          <t>1994-11-28</t>
        </is>
      </c>
      <c r="Z344" t="inlineStr">
        <is>
          <t>1994-11-28</t>
        </is>
      </c>
      <c r="AA344" t="n">
        <v>1082</v>
      </c>
      <c r="AB344" t="n">
        <v>1012</v>
      </c>
      <c r="AC344" t="n">
        <v>1389</v>
      </c>
      <c r="AD344" t="n">
        <v>11</v>
      </c>
      <c r="AE344" t="n">
        <v>13</v>
      </c>
      <c r="AF344" t="n">
        <v>44</v>
      </c>
      <c r="AG344" t="n">
        <v>56</v>
      </c>
      <c r="AH344" t="n">
        <v>19</v>
      </c>
      <c r="AI344" t="n">
        <v>22</v>
      </c>
      <c r="AJ344" t="n">
        <v>6</v>
      </c>
      <c r="AK344" t="n">
        <v>9</v>
      </c>
      <c r="AL344" t="n">
        <v>19</v>
      </c>
      <c r="AM344" t="n">
        <v>26</v>
      </c>
      <c r="AN344" t="n">
        <v>8</v>
      </c>
      <c r="AO344" t="n">
        <v>10</v>
      </c>
      <c r="AP344" t="n">
        <v>1</v>
      </c>
      <c r="AQ344" t="n">
        <v>1</v>
      </c>
      <c r="AR344" t="inlineStr">
        <is>
          <t>No</t>
        </is>
      </c>
      <c r="AS344" t="inlineStr">
        <is>
          <t>No</t>
        </is>
      </c>
      <c r="AT344">
        <f>HYPERLINK("http://catalog.hathitrust.org/Record/000907984","HathiTrust Record")</f>
        <v/>
      </c>
      <c r="AU344">
        <f>HYPERLINK("https://creighton-primo.hosted.exlibrisgroup.com/primo-explore/search?tab=default_tab&amp;search_scope=EVERYTHING&amp;vid=01CRU&amp;lang=en_US&amp;offset=0&amp;query=any,contains,991002432509702656","Catalog Record")</f>
        <v/>
      </c>
      <c r="AV344">
        <f>HYPERLINK("http://www.worldcat.org/oclc/347618","WorldCat Record")</f>
        <v/>
      </c>
      <c r="AW344" t="inlineStr">
        <is>
          <t>2593737026:eng</t>
        </is>
      </c>
      <c r="AX344" t="inlineStr">
        <is>
          <t>347618</t>
        </is>
      </c>
      <c r="AY344" t="inlineStr">
        <is>
          <t>991002432509702656</t>
        </is>
      </c>
      <c r="AZ344" t="inlineStr">
        <is>
          <t>991002432509702656</t>
        </is>
      </c>
      <c r="BA344" t="inlineStr">
        <is>
          <t>2272684170002656</t>
        </is>
      </c>
      <c r="BB344" t="inlineStr">
        <is>
          <t>BOOK</t>
        </is>
      </c>
      <c r="BE344" t="inlineStr">
        <is>
          <t>32285001968790</t>
        </is>
      </c>
      <c r="BF344" t="inlineStr">
        <is>
          <t>893232944</t>
        </is>
      </c>
    </row>
    <row r="345">
      <c r="A345" t="inlineStr">
        <is>
          <t>No</t>
        </is>
      </c>
      <c r="B345" t="inlineStr">
        <is>
          <t>CURAL</t>
        </is>
      </c>
      <c r="C345" t="inlineStr">
        <is>
          <t>SHELVES</t>
        </is>
      </c>
      <c r="D345" t="inlineStr">
        <is>
          <t>PQ4390 .V82 1958</t>
        </is>
      </c>
      <c r="E345" t="inlineStr">
        <is>
          <t>0                      PQ 4390000V  82          1958</t>
        </is>
      </c>
      <c r="F345" t="inlineStr">
        <is>
          <t>Mediaeval culture : an introduction to Dante and his times.</t>
        </is>
      </c>
      <c r="G345" t="inlineStr">
        <is>
          <t>V.1</t>
        </is>
      </c>
      <c r="H345" t="inlineStr">
        <is>
          <t>Yes</t>
        </is>
      </c>
      <c r="I345" t="inlineStr">
        <is>
          <t>1</t>
        </is>
      </c>
      <c r="J345" t="inlineStr">
        <is>
          <t>No</t>
        </is>
      </c>
      <c r="K345" t="inlineStr">
        <is>
          <t>No</t>
        </is>
      </c>
      <c r="L345" t="inlineStr">
        <is>
          <t>0</t>
        </is>
      </c>
      <c r="M345" t="inlineStr">
        <is>
          <t>Vossler, Karl, 1872-1949.</t>
        </is>
      </c>
      <c r="N345" t="inlineStr">
        <is>
          <t>New York : Ungar, [1958]</t>
        </is>
      </c>
      <c r="O345" t="inlineStr">
        <is>
          <t>1958</t>
        </is>
      </c>
      <c r="Q345" t="inlineStr">
        <is>
          <t>eng</t>
        </is>
      </c>
      <c r="R345" t="inlineStr">
        <is>
          <t>nyu</t>
        </is>
      </c>
      <c r="T345" t="inlineStr">
        <is>
          <t xml:space="preserve">PQ </t>
        </is>
      </c>
      <c r="U345" t="n">
        <v>11</v>
      </c>
      <c r="V345" t="n">
        <v>19</v>
      </c>
      <c r="W345" t="inlineStr">
        <is>
          <t>2005-10-23</t>
        </is>
      </c>
      <c r="X345" t="inlineStr">
        <is>
          <t>2005-10-23</t>
        </is>
      </c>
      <c r="Y345" t="inlineStr">
        <is>
          <t>1992-11-25</t>
        </is>
      </c>
      <c r="Z345" t="inlineStr">
        <is>
          <t>1994-11-28</t>
        </is>
      </c>
      <c r="AA345" t="n">
        <v>1082</v>
      </c>
      <c r="AB345" t="n">
        <v>1012</v>
      </c>
      <c r="AC345" t="n">
        <v>1389</v>
      </c>
      <c r="AD345" t="n">
        <v>11</v>
      </c>
      <c r="AE345" t="n">
        <v>13</v>
      </c>
      <c r="AF345" t="n">
        <v>44</v>
      </c>
      <c r="AG345" t="n">
        <v>56</v>
      </c>
      <c r="AH345" t="n">
        <v>19</v>
      </c>
      <c r="AI345" t="n">
        <v>22</v>
      </c>
      <c r="AJ345" t="n">
        <v>6</v>
      </c>
      <c r="AK345" t="n">
        <v>9</v>
      </c>
      <c r="AL345" t="n">
        <v>19</v>
      </c>
      <c r="AM345" t="n">
        <v>26</v>
      </c>
      <c r="AN345" t="n">
        <v>8</v>
      </c>
      <c r="AO345" t="n">
        <v>10</v>
      </c>
      <c r="AP345" t="n">
        <v>1</v>
      </c>
      <c r="AQ345" t="n">
        <v>1</v>
      </c>
      <c r="AR345" t="inlineStr">
        <is>
          <t>No</t>
        </is>
      </c>
      <c r="AS345" t="inlineStr">
        <is>
          <t>No</t>
        </is>
      </c>
      <c r="AT345">
        <f>HYPERLINK("http://catalog.hathitrust.org/Record/000907984","HathiTrust Record")</f>
        <v/>
      </c>
      <c r="AU345">
        <f>HYPERLINK("https://creighton-primo.hosted.exlibrisgroup.com/primo-explore/search?tab=default_tab&amp;search_scope=EVERYTHING&amp;vid=01CRU&amp;lang=en_US&amp;offset=0&amp;query=any,contains,991002432509702656","Catalog Record")</f>
        <v/>
      </c>
      <c r="AV345">
        <f>HYPERLINK("http://www.worldcat.org/oclc/347618","WorldCat Record")</f>
        <v/>
      </c>
      <c r="AW345" t="inlineStr">
        <is>
          <t>2593737026:eng</t>
        </is>
      </c>
      <c r="AX345" t="inlineStr">
        <is>
          <t>347618</t>
        </is>
      </c>
      <c r="AY345" t="inlineStr">
        <is>
          <t>991002432509702656</t>
        </is>
      </c>
      <c r="AZ345" t="inlineStr">
        <is>
          <t>991002432509702656</t>
        </is>
      </c>
      <c r="BA345" t="inlineStr">
        <is>
          <t>2272684170002656</t>
        </is>
      </c>
      <c r="BB345" t="inlineStr">
        <is>
          <t>BOOK</t>
        </is>
      </c>
      <c r="BE345" t="inlineStr">
        <is>
          <t>32285001409217</t>
        </is>
      </c>
      <c r="BF345" t="inlineStr">
        <is>
          <t>893226830</t>
        </is>
      </c>
    </row>
    <row r="346">
      <c r="A346" t="inlineStr">
        <is>
          <t>No</t>
        </is>
      </c>
      <c r="B346" t="inlineStr">
        <is>
          <t>CURAL</t>
        </is>
      </c>
      <c r="C346" t="inlineStr">
        <is>
          <t>SHELVES</t>
        </is>
      </c>
      <c r="D346" t="inlineStr">
        <is>
          <t>PQ4406 .D8 1929a</t>
        </is>
      </c>
      <c r="E346" t="inlineStr">
        <is>
          <t>0                      PQ 4406000D  8           1929a</t>
        </is>
      </c>
      <c r="F346" t="inlineStr">
        <is>
          <t>Symbolism in medieval thought and its consummation in the Divine comedy, by H. Flanders Dunbar.</t>
        </is>
      </c>
      <c r="H346" t="inlineStr">
        <is>
          <t>No</t>
        </is>
      </c>
      <c r="I346" t="inlineStr">
        <is>
          <t>1</t>
        </is>
      </c>
      <c r="J346" t="inlineStr">
        <is>
          <t>No</t>
        </is>
      </c>
      <c r="K346" t="inlineStr">
        <is>
          <t>No</t>
        </is>
      </c>
      <c r="L346" t="inlineStr">
        <is>
          <t>0</t>
        </is>
      </c>
      <c r="M346" t="inlineStr">
        <is>
          <t>Dunbar, Helen Flanders, 1902-1959.</t>
        </is>
      </c>
      <c r="N346" t="inlineStr">
        <is>
          <t>New Haven, Yale university press; London, H. Milford, Oxford university press, 1929.</t>
        </is>
      </c>
      <c r="O346" t="inlineStr">
        <is>
          <t>1929</t>
        </is>
      </c>
      <c r="Q346" t="inlineStr">
        <is>
          <t>eng</t>
        </is>
      </c>
      <c r="R346" t="inlineStr">
        <is>
          <t>ctu</t>
        </is>
      </c>
      <c r="T346" t="inlineStr">
        <is>
          <t xml:space="preserve">PQ </t>
        </is>
      </c>
      <c r="U346" t="n">
        <v>6</v>
      </c>
      <c r="V346" t="n">
        <v>6</v>
      </c>
      <c r="W346" t="inlineStr">
        <is>
          <t>2005-05-27</t>
        </is>
      </c>
      <c r="X346" t="inlineStr">
        <is>
          <t>2005-05-27</t>
        </is>
      </c>
      <c r="Y346" t="inlineStr">
        <is>
          <t>1997-11-05</t>
        </is>
      </c>
      <c r="Z346" t="inlineStr">
        <is>
          <t>1997-11-05</t>
        </is>
      </c>
      <c r="AA346" t="n">
        <v>174</v>
      </c>
      <c r="AB346" t="n">
        <v>159</v>
      </c>
      <c r="AC346" t="n">
        <v>661</v>
      </c>
      <c r="AD346" t="n">
        <v>2</v>
      </c>
      <c r="AE346" t="n">
        <v>4</v>
      </c>
      <c r="AF346" t="n">
        <v>11</v>
      </c>
      <c r="AG346" t="n">
        <v>39</v>
      </c>
      <c r="AH346" t="n">
        <v>4</v>
      </c>
      <c r="AI346" t="n">
        <v>18</v>
      </c>
      <c r="AJ346" t="n">
        <v>2</v>
      </c>
      <c r="AK346" t="n">
        <v>7</v>
      </c>
      <c r="AL346" t="n">
        <v>7</v>
      </c>
      <c r="AM346" t="n">
        <v>20</v>
      </c>
      <c r="AN346" t="n">
        <v>1</v>
      </c>
      <c r="AO346" t="n">
        <v>3</v>
      </c>
      <c r="AP346" t="n">
        <v>0</v>
      </c>
      <c r="AQ346" t="n">
        <v>0</v>
      </c>
      <c r="AR346" t="inlineStr">
        <is>
          <t>No</t>
        </is>
      </c>
      <c r="AS346" t="inlineStr">
        <is>
          <t>No</t>
        </is>
      </c>
      <c r="AT346">
        <f>HYPERLINK("http://catalog.hathitrust.org/Record/000869673","HathiTrust Record")</f>
        <v/>
      </c>
      <c r="AU346">
        <f>HYPERLINK("https://creighton-primo.hosted.exlibrisgroup.com/primo-explore/search?tab=default_tab&amp;search_scope=EVERYTHING&amp;vid=01CRU&amp;lang=en_US&amp;offset=0&amp;query=any,contains,991004152879702656","Catalog Record")</f>
        <v/>
      </c>
      <c r="AV346">
        <f>HYPERLINK("http://www.worldcat.org/oclc/2530025","WorldCat Record")</f>
        <v/>
      </c>
      <c r="AW346" t="inlineStr">
        <is>
          <t>1490729:eng</t>
        </is>
      </c>
      <c r="AX346" t="inlineStr">
        <is>
          <t>2530025</t>
        </is>
      </c>
      <c r="AY346" t="inlineStr">
        <is>
          <t>991004152879702656</t>
        </is>
      </c>
      <c r="AZ346" t="inlineStr">
        <is>
          <t>991004152879702656</t>
        </is>
      </c>
      <c r="BA346" t="inlineStr">
        <is>
          <t>2267687250002656</t>
        </is>
      </c>
      <c r="BB346" t="inlineStr">
        <is>
          <t>BOOK</t>
        </is>
      </c>
      <c r="BE346" t="inlineStr">
        <is>
          <t>32285003276549</t>
        </is>
      </c>
      <c r="BF346" t="inlineStr">
        <is>
          <t>893894623</t>
        </is>
      </c>
    </row>
    <row r="347">
      <c r="A347" t="inlineStr">
        <is>
          <t>No</t>
        </is>
      </c>
      <c r="B347" t="inlineStr">
        <is>
          <t>CURAL</t>
        </is>
      </c>
      <c r="C347" t="inlineStr">
        <is>
          <t>SHELVES</t>
        </is>
      </c>
      <c r="D347" t="inlineStr">
        <is>
          <t>PQ4409.H3 S2 1975</t>
        </is>
      </c>
      <c r="E347" t="inlineStr">
        <is>
          <t>0                      PQ 4409000H  3                  S  2           1975</t>
        </is>
      </c>
      <c r="F347" t="inlineStr">
        <is>
          <t>Dante and heresy / by Alfonso de Salvio.</t>
        </is>
      </c>
      <c r="H347" t="inlineStr">
        <is>
          <t>No</t>
        </is>
      </c>
      <c r="I347" t="inlineStr">
        <is>
          <t>1</t>
        </is>
      </c>
      <c r="J347" t="inlineStr">
        <is>
          <t>No</t>
        </is>
      </c>
      <c r="K347" t="inlineStr">
        <is>
          <t>No</t>
        </is>
      </c>
      <c r="L347" t="inlineStr">
        <is>
          <t>0</t>
        </is>
      </c>
      <c r="M347" t="inlineStr">
        <is>
          <t>Salvio, Alfonso de, 1873-1938.</t>
        </is>
      </c>
      <c r="N347" t="inlineStr">
        <is>
          <t>Plainview, N.Y. : Books for Libraries Press, [1975]</t>
        </is>
      </c>
      <c r="O347" t="inlineStr">
        <is>
          <t>1975</t>
        </is>
      </c>
      <c r="Q347" t="inlineStr">
        <is>
          <t>eng</t>
        </is>
      </c>
      <c r="R347" t="inlineStr">
        <is>
          <t>nyu</t>
        </is>
      </c>
      <c r="T347" t="inlineStr">
        <is>
          <t xml:space="preserve">PQ </t>
        </is>
      </c>
      <c r="U347" t="n">
        <v>11</v>
      </c>
      <c r="V347" t="n">
        <v>11</v>
      </c>
      <c r="W347" t="inlineStr">
        <is>
          <t>2003-11-18</t>
        </is>
      </c>
      <c r="X347" t="inlineStr">
        <is>
          <t>2003-11-18</t>
        </is>
      </c>
      <c r="Y347" t="inlineStr">
        <is>
          <t>1996-02-12</t>
        </is>
      </c>
      <c r="Z347" t="inlineStr">
        <is>
          <t>1996-02-12</t>
        </is>
      </c>
      <c r="AA347" t="n">
        <v>25</v>
      </c>
      <c r="AB347" t="n">
        <v>22</v>
      </c>
      <c r="AC347" t="n">
        <v>157</v>
      </c>
      <c r="AD347" t="n">
        <v>1</v>
      </c>
      <c r="AE347" t="n">
        <v>2</v>
      </c>
      <c r="AF347" t="n">
        <v>0</v>
      </c>
      <c r="AG347" t="n">
        <v>9</v>
      </c>
      <c r="AH347" t="n">
        <v>0</v>
      </c>
      <c r="AI347" t="n">
        <v>4</v>
      </c>
      <c r="AJ347" t="n">
        <v>0</v>
      </c>
      <c r="AK347" t="n">
        <v>1</v>
      </c>
      <c r="AL347" t="n">
        <v>0</v>
      </c>
      <c r="AM347" t="n">
        <v>5</v>
      </c>
      <c r="AN347" t="n">
        <v>0</v>
      </c>
      <c r="AO347" t="n">
        <v>1</v>
      </c>
      <c r="AP347" t="n">
        <v>0</v>
      </c>
      <c r="AQ347" t="n">
        <v>0</v>
      </c>
      <c r="AR347" t="inlineStr">
        <is>
          <t>No</t>
        </is>
      </c>
      <c r="AS347" t="inlineStr">
        <is>
          <t>No</t>
        </is>
      </c>
      <c r="AU347">
        <f>HYPERLINK("https://creighton-primo.hosted.exlibrisgroup.com/primo-explore/search?tab=default_tab&amp;search_scope=EVERYTHING&amp;vid=01CRU&amp;lang=en_US&amp;offset=0&amp;query=any,contains,991003977139702656","Catalog Record")</f>
        <v/>
      </c>
      <c r="AV347">
        <f>HYPERLINK("http://www.worldcat.org/oclc/2007175","WorldCat Record")</f>
        <v/>
      </c>
      <c r="AW347" t="inlineStr">
        <is>
          <t>1724938:eng</t>
        </is>
      </c>
      <c r="AX347" t="inlineStr">
        <is>
          <t>2007175</t>
        </is>
      </c>
      <c r="AY347" t="inlineStr">
        <is>
          <t>991003977139702656</t>
        </is>
      </c>
      <c r="AZ347" t="inlineStr">
        <is>
          <t>991003977139702656</t>
        </is>
      </c>
      <c r="BA347" t="inlineStr">
        <is>
          <t>2261994330002656</t>
        </is>
      </c>
      <c r="BB347" t="inlineStr">
        <is>
          <t>BOOK</t>
        </is>
      </c>
      <c r="BE347" t="inlineStr">
        <is>
          <t>32285002129368</t>
        </is>
      </c>
      <c r="BF347" t="inlineStr">
        <is>
          <t>893705854</t>
        </is>
      </c>
    </row>
    <row r="348">
      <c r="A348" t="inlineStr">
        <is>
          <t>No</t>
        </is>
      </c>
      <c r="B348" t="inlineStr">
        <is>
          <t>CURAL</t>
        </is>
      </c>
      <c r="C348" t="inlineStr">
        <is>
          <t>SHELVES</t>
        </is>
      </c>
      <c r="D348" t="inlineStr">
        <is>
          <t>PQ4422 .W3</t>
        </is>
      </c>
      <c r="E348" t="inlineStr">
        <is>
          <t>0                      PQ 4422000W  3</t>
        </is>
      </c>
      <c r="F348" t="inlineStr">
        <is>
          <t>Dante Alighieri, citizen of Christendom / [by] Gerald G. Walsh, S.J.</t>
        </is>
      </c>
      <c r="H348" t="inlineStr">
        <is>
          <t>No</t>
        </is>
      </c>
      <c r="I348" t="inlineStr">
        <is>
          <t>1</t>
        </is>
      </c>
      <c r="J348" t="inlineStr">
        <is>
          <t>No</t>
        </is>
      </c>
      <c r="K348" t="inlineStr">
        <is>
          <t>No</t>
        </is>
      </c>
      <c r="L348" t="inlineStr">
        <is>
          <t>0</t>
        </is>
      </c>
      <c r="M348" t="inlineStr">
        <is>
          <t>Walsh, Gerald Groveland, 1892-1952.</t>
        </is>
      </c>
      <c r="N348" t="inlineStr">
        <is>
          <t>Milwaukee : The Bruce Publishing Company, [1946]</t>
        </is>
      </c>
      <c r="O348" t="inlineStr">
        <is>
          <t>1946</t>
        </is>
      </c>
      <c r="Q348" t="inlineStr">
        <is>
          <t>eng</t>
        </is>
      </c>
      <c r="R348" t="inlineStr">
        <is>
          <t>wiu</t>
        </is>
      </c>
      <c r="T348" t="inlineStr">
        <is>
          <t xml:space="preserve">PQ </t>
        </is>
      </c>
      <c r="U348" t="n">
        <v>12</v>
      </c>
      <c r="V348" t="n">
        <v>12</v>
      </c>
      <c r="W348" t="inlineStr">
        <is>
          <t>1998-04-02</t>
        </is>
      </c>
      <c r="X348" t="inlineStr">
        <is>
          <t>1998-04-02</t>
        </is>
      </c>
      <c r="Y348" t="inlineStr">
        <is>
          <t>1993-11-09</t>
        </is>
      </c>
      <c r="Z348" t="inlineStr">
        <is>
          <t>1993-11-09</t>
        </is>
      </c>
      <c r="AA348" t="n">
        <v>450</v>
      </c>
      <c r="AB348" t="n">
        <v>404</v>
      </c>
      <c r="AC348" t="n">
        <v>420</v>
      </c>
      <c r="AD348" t="n">
        <v>6</v>
      </c>
      <c r="AE348" t="n">
        <v>6</v>
      </c>
      <c r="AF348" t="n">
        <v>34</v>
      </c>
      <c r="AG348" t="n">
        <v>35</v>
      </c>
      <c r="AH348" t="n">
        <v>12</v>
      </c>
      <c r="AI348" t="n">
        <v>13</v>
      </c>
      <c r="AJ348" t="n">
        <v>7</v>
      </c>
      <c r="AK348" t="n">
        <v>7</v>
      </c>
      <c r="AL348" t="n">
        <v>22</v>
      </c>
      <c r="AM348" t="n">
        <v>23</v>
      </c>
      <c r="AN348" t="n">
        <v>3</v>
      </c>
      <c r="AO348" t="n">
        <v>3</v>
      </c>
      <c r="AP348" t="n">
        <v>0</v>
      </c>
      <c r="AQ348" t="n">
        <v>0</v>
      </c>
      <c r="AR348" t="inlineStr">
        <is>
          <t>No</t>
        </is>
      </c>
      <c r="AS348" t="inlineStr">
        <is>
          <t>No</t>
        </is>
      </c>
      <c r="AU348">
        <f>HYPERLINK("https://creighton-primo.hosted.exlibrisgroup.com/primo-explore/search?tab=default_tab&amp;search_scope=EVERYTHING&amp;vid=01CRU&amp;lang=en_US&amp;offset=0&amp;query=any,contains,991003023009702656","Catalog Record")</f>
        <v/>
      </c>
      <c r="AV348">
        <f>HYPERLINK("http://www.worldcat.org/oclc/587828","WorldCat Record")</f>
        <v/>
      </c>
      <c r="AW348" t="inlineStr">
        <is>
          <t>1759050:eng</t>
        </is>
      </c>
      <c r="AX348" t="inlineStr">
        <is>
          <t>587828</t>
        </is>
      </c>
      <c r="AY348" t="inlineStr">
        <is>
          <t>991003023009702656</t>
        </is>
      </c>
      <c r="AZ348" t="inlineStr">
        <is>
          <t>991003023009702656</t>
        </is>
      </c>
      <c r="BA348" t="inlineStr">
        <is>
          <t>2267206460002656</t>
        </is>
      </c>
      <c r="BB348" t="inlineStr">
        <is>
          <t>BOOK</t>
        </is>
      </c>
      <c r="BE348" t="inlineStr">
        <is>
          <t>32285001797520</t>
        </is>
      </c>
      <c r="BF348" t="inlineStr">
        <is>
          <t>893786878</t>
        </is>
      </c>
    </row>
    <row r="349">
      <c r="A349" t="inlineStr">
        <is>
          <t>No</t>
        </is>
      </c>
      <c r="B349" t="inlineStr">
        <is>
          <t>CURAL</t>
        </is>
      </c>
      <c r="C349" t="inlineStr">
        <is>
          <t>SHELVES</t>
        </is>
      </c>
      <c r="D349" t="inlineStr">
        <is>
          <t>PQ4424 .C3 1921</t>
        </is>
      </c>
      <c r="E349" t="inlineStr">
        <is>
          <t>0                      PQ 4424000C  3           1921</t>
        </is>
      </c>
      <c r="F349" t="inlineStr">
        <is>
          <t>The popes in the Divina commedia of Dante / by L.C. Casartelli.</t>
        </is>
      </c>
      <c r="H349" t="inlineStr">
        <is>
          <t>No</t>
        </is>
      </c>
      <c r="I349" t="inlineStr">
        <is>
          <t>1</t>
        </is>
      </c>
      <c r="J349" t="inlineStr">
        <is>
          <t>No</t>
        </is>
      </c>
      <c r="K349" t="inlineStr">
        <is>
          <t>No</t>
        </is>
      </c>
      <c r="L349" t="inlineStr">
        <is>
          <t>0</t>
        </is>
      </c>
      <c r="M349" t="inlineStr">
        <is>
          <t>Casartelli, Louis Charles, 1852-1925.</t>
        </is>
      </c>
      <c r="N349" t="inlineStr">
        <is>
          <t>London : Sands &amp; Co., 1921.</t>
        </is>
      </c>
      <c r="O349" t="inlineStr">
        <is>
          <t>1921</t>
        </is>
      </c>
      <c r="Q349" t="inlineStr">
        <is>
          <t>eng</t>
        </is>
      </c>
      <c r="R349" t="inlineStr">
        <is>
          <t>enk</t>
        </is>
      </c>
      <c r="T349" t="inlineStr">
        <is>
          <t xml:space="preserve">PQ </t>
        </is>
      </c>
      <c r="U349" t="n">
        <v>3</v>
      </c>
      <c r="V349" t="n">
        <v>3</v>
      </c>
      <c r="W349" t="inlineStr">
        <is>
          <t>1999-12-07</t>
        </is>
      </c>
      <c r="X349" t="inlineStr">
        <is>
          <t>1999-12-07</t>
        </is>
      </c>
      <c r="Y349" t="inlineStr">
        <is>
          <t>1997-07-30</t>
        </is>
      </c>
      <c r="Z349" t="inlineStr">
        <is>
          <t>1997-07-30</t>
        </is>
      </c>
      <c r="AA349" t="n">
        <v>59</v>
      </c>
      <c r="AB349" t="n">
        <v>32</v>
      </c>
      <c r="AC349" t="n">
        <v>47</v>
      </c>
      <c r="AD349" t="n">
        <v>1</v>
      </c>
      <c r="AE349" t="n">
        <v>1</v>
      </c>
      <c r="AF349" t="n">
        <v>3</v>
      </c>
      <c r="AG349" t="n">
        <v>3</v>
      </c>
      <c r="AH349" t="n">
        <v>0</v>
      </c>
      <c r="AI349" t="n">
        <v>0</v>
      </c>
      <c r="AJ349" t="n">
        <v>1</v>
      </c>
      <c r="AK349" t="n">
        <v>1</v>
      </c>
      <c r="AL349" t="n">
        <v>2</v>
      </c>
      <c r="AM349" t="n">
        <v>2</v>
      </c>
      <c r="AN349" t="n">
        <v>0</v>
      </c>
      <c r="AO349" t="n">
        <v>0</v>
      </c>
      <c r="AP349" t="n">
        <v>0</v>
      </c>
      <c r="AQ349" t="n">
        <v>0</v>
      </c>
      <c r="AR349" t="inlineStr">
        <is>
          <t>Yes</t>
        </is>
      </c>
      <c r="AS349" t="inlineStr">
        <is>
          <t>No</t>
        </is>
      </c>
      <c r="AT349">
        <f>HYPERLINK("http://catalog.hathitrust.org/Record/000869350","HathiTrust Record")</f>
        <v/>
      </c>
      <c r="AU349">
        <f>HYPERLINK("https://creighton-primo.hosted.exlibrisgroup.com/primo-explore/search?tab=default_tab&amp;search_scope=EVERYTHING&amp;vid=01CRU&amp;lang=en_US&amp;offset=0&amp;query=any,contains,991000474039702656","Catalog Record")</f>
        <v/>
      </c>
      <c r="AV349">
        <f>HYPERLINK("http://www.worldcat.org/oclc/11003361","WorldCat Record")</f>
        <v/>
      </c>
      <c r="AW349" t="inlineStr">
        <is>
          <t>3609742:eng</t>
        </is>
      </c>
      <c r="AX349" t="inlineStr">
        <is>
          <t>11003361</t>
        </is>
      </c>
      <c r="AY349" t="inlineStr">
        <is>
          <t>991000474039702656</t>
        </is>
      </c>
      <c r="AZ349" t="inlineStr">
        <is>
          <t>991000474039702656</t>
        </is>
      </c>
      <c r="BA349" t="inlineStr">
        <is>
          <t>2255620050002656</t>
        </is>
      </c>
      <c r="BB349" t="inlineStr">
        <is>
          <t>BOOK</t>
        </is>
      </c>
      <c r="BE349" t="inlineStr">
        <is>
          <t>32285002798741</t>
        </is>
      </c>
      <c r="BF349" t="inlineStr">
        <is>
          <t>893243284</t>
        </is>
      </c>
    </row>
    <row r="350">
      <c r="A350" t="inlineStr">
        <is>
          <t>No</t>
        </is>
      </c>
      <c r="B350" t="inlineStr">
        <is>
          <t>CURAL</t>
        </is>
      </c>
      <c r="C350" t="inlineStr">
        <is>
          <t>SHELVES</t>
        </is>
      </c>
      <c r="D350" t="inlineStr">
        <is>
          <t>PQ443 .C3</t>
        </is>
      </c>
      <c r="E350" t="inlineStr">
        <is>
          <t>0                      PQ 0443000C  3</t>
        </is>
      </c>
      <c r="F350" t="inlineStr">
        <is>
          <t>The poetry of Dada and sur-realism: Aragon, Breton, Tzara, Eluard &amp; Desnos.</t>
        </is>
      </c>
      <c r="H350" t="inlineStr">
        <is>
          <t>No</t>
        </is>
      </c>
      <c r="I350" t="inlineStr">
        <is>
          <t>1</t>
        </is>
      </c>
      <c r="J350" t="inlineStr">
        <is>
          <t>No</t>
        </is>
      </c>
      <c r="K350" t="inlineStr">
        <is>
          <t>No</t>
        </is>
      </c>
      <c r="L350" t="inlineStr">
        <is>
          <t>0</t>
        </is>
      </c>
      <c r="M350" t="inlineStr">
        <is>
          <t>Caws, Mary Ann.</t>
        </is>
      </c>
      <c r="N350" t="inlineStr">
        <is>
          <t>Princeton, N.J., Princeton University Press, 1970.</t>
        </is>
      </c>
      <c r="O350" t="inlineStr">
        <is>
          <t>1970</t>
        </is>
      </c>
      <c r="Q350" t="inlineStr">
        <is>
          <t>eng</t>
        </is>
      </c>
      <c r="R350" t="inlineStr">
        <is>
          <t>nju</t>
        </is>
      </c>
      <c r="T350" t="inlineStr">
        <is>
          <t xml:space="preserve">PQ </t>
        </is>
      </c>
      <c r="U350" t="n">
        <v>3</v>
      </c>
      <c r="V350" t="n">
        <v>3</v>
      </c>
      <c r="W350" t="inlineStr">
        <is>
          <t>2006-09-27</t>
        </is>
      </c>
      <c r="X350" t="inlineStr">
        <is>
          <t>2006-09-27</t>
        </is>
      </c>
      <c r="Y350" t="inlineStr">
        <is>
          <t>1997-05-02</t>
        </is>
      </c>
      <c r="Z350" t="inlineStr">
        <is>
          <t>1997-05-02</t>
        </is>
      </c>
      <c r="AA350" t="n">
        <v>1052</v>
      </c>
      <c r="AB350" t="n">
        <v>926</v>
      </c>
      <c r="AC350" t="n">
        <v>941</v>
      </c>
      <c r="AD350" t="n">
        <v>9</v>
      </c>
      <c r="AE350" t="n">
        <v>9</v>
      </c>
      <c r="AF350" t="n">
        <v>44</v>
      </c>
      <c r="AG350" t="n">
        <v>44</v>
      </c>
      <c r="AH350" t="n">
        <v>19</v>
      </c>
      <c r="AI350" t="n">
        <v>19</v>
      </c>
      <c r="AJ350" t="n">
        <v>8</v>
      </c>
      <c r="AK350" t="n">
        <v>8</v>
      </c>
      <c r="AL350" t="n">
        <v>19</v>
      </c>
      <c r="AM350" t="n">
        <v>19</v>
      </c>
      <c r="AN350" t="n">
        <v>7</v>
      </c>
      <c r="AO350" t="n">
        <v>7</v>
      </c>
      <c r="AP350" t="n">
        <v>0</v>
      </c>
      <c r="AQ350" t="n">
        <v>0</v>
      </c>
      <c r="AR350" t="inlineStr">
        <is>
          <t>No</t>
        </is>
      </c>
      <c r="AS350" t="inlineStr">
        <is>
          <t>No</t>
        </is>
      </c>
      <c r="AU350">
        <f>HYPERLINK("https://creighton-primo.hosted.exlibrisgroup.com/primo-explore/search?tab=default_tab&amp;search_scope=EVERYTHING&amp;vid=01CRU&amp;lang=en_US&amp;offset=0&amp;query=any,contains,991000204889702656","Catalog Record")</f>
        <v/>
      </c>
      <c r="AV350">
        <f>HYPERLINK("http://www.worldcat.org/oclc/64618","WorldCat Record")</f>
        <v/>
      </c>
      <c r="AW350" t="inlineStr">
        <is>
          <t>48111023:eng</t>
        </is>
      </c>
      <c r="AX350" t="inlineStr">
        <is>
          <t>64618</t>
        </is>
      </c>
      <c r="AY350" t="inlineStr">
        <is>
          <t>991000204889702656</t>
        </is>
      </c>
      <c r="AZ350" t="inlineStr">
        <is>
          <t>991000204889702656</t>
        </is>
      </c>
      <c r="BA350" t="inlineStr">
        <is>
          <t>2255531680002656</t>
        </is>
      </c>
      <c r="BB350" t="inlineStr">
        <is>
          <t>BOOK</t>
        </is>
      </c>
      <c r="BD350" t="inlineStr">
        <is>
          <t>9780691061641</t>
        </is>
      </c>
      <c r="BE350" t="inlineStr">
        <is>
          <t>32285002589900</t>
        </is>
      </c>
      <c r="BF350" t="inlineStr">
        <is>
          <t>893601577</t>
        </is>
      </c>
    </row>
    <row r="351">
      <c r="A351" t="inlineStr">
        <is>
          <t>No</t>
        </is>
      </c>
      <c r="B351" t="inlineStr">
        <is>
          <t>CURAL</t>
        </is>
      </c>
      <c r="C351" t="inlineStr">
        <is>
          <t>SHELVES</t>
        </is>
      </c>
      <c r="D351" t="inlineStr">
        <is>
          <t>PQ4442 .M7</t>
        </is>
      </c>
      <c r="E351" t="inlineStr">
        <is>
          <t>0                      PQ 4442000M  7</t>
        </is>
      </c>
      <c r="F351" t="inlineStr">
        <is>
          <t>Contributions to the textual criticism of the Divina commedia, including the complete collation throughout the Inferno of all the mss. at Oxford and Cambridge / by the Rev. Edward Moore.</t>
        </is>
      </c>
      <c r="H351" t="inlineStr">
        <is>
          <t>No</t>
        </is>
      </c>
      <c r="I351" t="inlineStr">
        <is>
          <t>1</t>
        </is>
      </c>
      <c r="J351" t="inlineStr">
        <is>
          <t>No</t>
        </is>
      </c>
      <c r="K351" t="inlineStr">
        <is>
          <t>No</t>
        </is>
      </c>
      <c r="L351" t="inlineStr">
        <is>
          <t>0</t>
        </is>
      </c>
      <c r="M351" t="inlineStr">
        <is>
          <t>Moore, Edward, 1835-1916.</t>
        </is>
      </c>
      <c r="N351" t="inlineStr">
        <is>
          <t>Cambridge : The University Press, 1889.</t>
        </is>
      </c>
      <c r="O351" t="inlineStr">
        <is>
          <t>1889</t>
        </is>
      </c>
      <c r="Q351" t="inlineStr">
        <is>
          <t>eng</t>
        </is>
      </c>
      <c r="R351" t="inlineStr">
        <is>
          <t>enk</t>
        </is>
      </c>
      <c r="T351" t="inlineStr">
        <is>
          <t xml:space="preserve">PQ </t>
        </is>
      </c>
      <c r="U351" t="n">
        <v>17</v>
      </c>
      <c r="V351" t="n">
        <v>17</v>
      </c>
      <c r="W351" t="inlineStr">
        <is>
          <t>2003-12-01</t>
        </is>
      </c>
      <c r="X351" t="inlineStr">
        <is>
          <t>2003-12-01</t>
        </is>
      </c>
      <c r="Y351" t="inlineStr">
        <is>
          <t>1993-11-09</t>
        </is>
      </c>
      <c r="Z351" t="inlineStr">
        <is>
          <t>1993-11-09</t>
        </is>
      </c>
      <c r="AA351" t="n">
        <v>229</v>
      </c>
      <c r="AB351" t="n">
        <v>180</v>
      </c>
      <c r="AC351" t="n">
        <v>200</v>
      </c>
      <c r="AD351" t="n">
        <v>1</v>
      </c>
      <c r="AE351" t="n">
        <v>2</v>
      </c>
      <c r="AF351" t="n">
        <v>11</v>
      </c>
      <c r="AG351" t="n">
        <v>13</v>
      </c>
      <c r="AH351" t="n">
        <v>2</v>
      </c>
      <c r="AI351" t="n">
        <v>2</v>
      </c>
      <c r="AJ351" t="n">
        <v>1</v>
      </c>
      <c r="AK351" t="n">
        <v>2</v>
      </c>
      <c r="AL351" t="n">
        <v>11</v>
      </c>
      <c r="AM351" t="n">
        <v>11</v>
      </c>
      <c r="AN351" t="n">
        <v>0</v>
      </c>
      <c r="AO351" t="n">
        <v>1</v>
      </c>
      <c r="AP351" t="n">
        <v>0</v>
      </c>
      <c r="AQ351" t="n">
        <v>0</v>
      </c>
      <c r="AR351" t="inlineStr">
        <is>
          <t>Yes</t>
        </is>
      </c>
      <c r="AS351" t="inlineStr">
        <is>
          <t>No</t>
        </is>
      </c>
      <c r="AT351">
        <f>HYPERLINK("http://catalog.hathitrust.org/Record/007648741","HathiTrust Record")</f>
        <v/>
      </c>
      <c r="AU351">
        <f>HYPERLINK("https://creighton-primo.hosted.exlibrisgroup.com/primo-explore/search?tab=default_tab&amp;search_scope=EVERYTHING&amp;vid=01CRU&amp;lang=en_US&amp;offset=0&amp;query=any,contains,991002426969702656","Catalog Record")</f>
        <v/>
      </c>
      <c r="AV351">
        <f>HYPERLINK("http://www.worldcat.org/oclc/345181","WorldCat Record")</f>
        <v/>
      </c>
      <c r="AW351" t="inlineStr">
        <is>
          <t>1491730:eng</t>
        </is>
      </c>
      <c r="AX351" t="inlineStr">
        <is>
          <t>345181</t>
        </is>
      </c>
      <c r="AY351" t="inlineStr">
        <is>
          <t>991002426969702656</t>
        </is>
      </c>
      <c r="AZ351" t="inlineStr">
        <is>
          <t>991002426969702656</t>
        </is>
      </c>
      <c r="BA351" t="inlineStr">
        <is>
          <t>2269802050002656</t>
        </is>
      </c>
      <c r="BB351" t="inlineStr">
        <is>
          <t>BOOK</t>
        </is>
      </c>
      <c r="BE351" t="inlineStr">
        <is>
          <t>32285001797512</t>
        </is>
      </c>
      <c r="BF351" t="inlineStr">
        <is>
          <t>893341424</t>
        </is>
      </c>
    </row>
    <row r="352">
      <c r="A352" t="inlineStr">
        <is>
          <t>No</t>
        </is>
      </c>
      <c r="B352" t="inlineStr">
        <is>
          <t>CURAL</t>
        </is>
      </c>
      <c r="C352" t="inlineStr">
        <is>
          <t>SHELVES</t>
        </is>
      </c>
      <c r="D352" t="inlineStr">
        <is>
          <t>PQ4464 .W5</t>
        </is>
      </c>
      <c r="E352" t="inlineStr">
        <is>
          <t>0                      PQ 4464000W  5</t>
        </is>
      </c>
      <c r="F352" t="inlineStr">
        <is>
          <t>A concordance to the Divine comedy of Dante Alighieri. Edited for the Dante Society of America by Ernest Hatch Wilkins and Thomas Goddard Bergin. Associate editor: Anthony J. De Vito.</t>
        </is>
      </c>
      <c r="H352" t="inlineStr">
        <is>
          <t>No</t>
        </is>
      </c>
      <c r="I352" t="inlineStr">
        <is>
          <t>1</t>
        </is>
      </c>
      <c r="J352" t="inlineStr">
        <is>
          <t>No</t>
        </is>
      </c>
      <c r="K352" t="inlineStr">
        <is>
          <t>No</t>
        </is>
      </c>
      <c r="L352" t="inlineStr">
        <is>
          <t>0</t>
        </is>
      </c>
      <c r="M352" t="inlineStr">
        <is>
          <t>Wilkins, Ernest Hatch, 1880-1966 editor.</t>
        </is>
      </c>
      <c r="N352" t="inlineStr">
        <is>
          <t>Cambridge, Belknap Press of Harvard University Press, 1965.</t>
        </is>
      </c>
      <c r="O352" t="inlineStr">
        <is>
          <t>1965</t>
        </is>
      </c>
      <c r="Q352" t="inlineStr">
        <is>
          <t>eng</t>
        </is>
      </c>
      <c r="R352" t="inlineStr">
        <is>
          <t>___</t>
        </is>
      </c>
      <c r="T352" t="inlineStr">
        <is>
          <t xml:space="preserve">PQ </t>
        </is>
      </c>
      <c r="U352" t="n">
        <v>11</v>
      </c>
      <c r="V352" t="n">
        <v>11</v>
      </c>
      <c r="W352" t="inlineStr">
        <is>
          <t>2003-12-01</t>
        </is>
      </c>
      <c r="X352" t="inlineStr">
        <is>
          <t>2003-12-01</t>
        </is>
      </c>
      <c r="Y352" t="inlineStr">
        <is>
          <t>1991-05-20</t>
        </is>
      </c>
      <c r="Z352" t="inlineStr">
        <is>
          <t>1991-05-20</t>
        </is>
      </c>
      <c r="AA352" t="n">
        <v>827</v>
      </c>
      <c r="AB352" t="n">
        <v>710</v>
      </c>
      <c r="AC352" t="n">
        <v>726</v>
      </c>
      <c r="AD352" t="n">
        <v>5</v>
      </c>
      <c r="AE352" t="n">
        <v>5</v>
      </c>
      <c r="AF352" t="n">
        <v>34</v>
      </c>
      <c r="AG352" t="n">
        <v>34</v>
      </c>
      <c r="AH352" t="n">
        <v>10</v>
      </c>
      <c r="AI352" t="n">
        <v>10</v>
      </c>
      <c r="AJ352" t="n">
        <v>9</v>
      </c>
      <c r="AK352" t="n">
        <v>9</v>
      </c>
      <c r="AL352" t="n">
        <v>21</v>
      </c>
      <c r="AM352" t="n">
        <v>21</v>
      </c>
      <c r="AN352" t="n">
        <v>4</v>
      </c>
      <c r="AO352" t="n">
        <v>4</v>
      </c>
      <c r="AP352" t="n">
        <v>0</v>
      </c>
      <c r="AQ352" t="n">
        <v>0</v>
      </c>
      <c r="AR352" t="inlineStr">
        <is>
          <t>No</t>
        </is>
      </c>
      <c r="AS352" t="inlineStr">
        <is>
          <t>Yes</t>
        </is>
      </c>
      <c r="AT352">
        <f>HYPERLINK("http://catalog.hathitrust.org/Record/000868195","HathiTrust Record")</f>
        <v/>
      </c>
      <c r="AU352">
        <f>HYPERLINK("https://creighton-primo.hosted.exlibrisgroup.com/primo-explore/search?tab=default_tab&amp;search_scope=EVERYTHING&amp;vid=01CRU&amp;lang=en_US&amp;offset=0&amp;query=any,contains,991001963509702656","Catalog Record")</f>
        <v/>
      </c>
      <c r="AV352">
        <f>HYPERLINK("http://www.worldcat.org/oclc/253713","WorldCat Record")</f>
        <v/>
      </c>
      <c r="AW352" t="inlineStr">
        <is>
          <t>1347331:eng</t>
        </is>
      </c>
      <c r="AX352" t="inlineStr">
        <is>
          <t>253713</t>
        </is>
      </c>
      <c r="AY352" t="inlineStr">
        <is>
          <t>991001963509702656</t>
        </is>
      </c>
      <c r="AZ352" t="inlineStr">
        <is>
          <t>991001963509702656</t>
        </is>
      </c>
      <c r="BA352" t="inlineStr">
        <is>
          <t>2267121100002656</t>
        </is>
      </c>
      <c r="BB352" t="inlineStr">
        <is>
          <t>BOOK</t>
        </is>
      </c>
      <c r="BE352" t="inlineStr">
        <is>
          <t>32285000597848</t>
        </is>
      </c>
      <c r="BF352" t="inlineStr">
        <is>
          <t>893346948</t>
        </is>
      </c>
    </row>
    <row r="353">
      <c r="A353" t="inlineStr">
        <is>
          <t>No</t>
        </is>
      </c>
      <c r="B353" t="inlineStr">
        <is>
          <t>CURAL</t>
        </is>
      </c>
      <c r="C353" t="inlineStr">
        <is>
          <t>SHELVES</t>
        </is>
      </c>
      <c r="D353" t="inlineStr">
        <is>
          <t>PQ4490.A4 B4</t>
        </is>
      </c>
      <c r="E353" t="inlineStr">
        <is>
          <t>0                      PQ 4490000A  4                  B  4</t>
        </is>
      </c>
      <c r="F353" t="inlineStr">
        <is>
          <t>Petrarch, Scipio and the "Africa" : the birth of humanism's dream.</t>
        </is>
      </c>
      <c r="H353" t="inlineStr">
        <is>
          <t>No</t>
        </is>
      </c>
      <c r="I353" t="inlineStr">
        <is>
          <t>1</t>
        </is>
      </c>
      <c r="J353" t="inlineStr">
        <is>
          <t>No</t>
        </is>
      </c>
      <c r="K353" t="inlineStr">
        <is>
          <t>No</t>
        </is>
      </c>
      <c r="L353" t="inlineStr">
        <is>
          <t>0</t>
        </is>
      </c>
      <c r="M353" t="inlineStr">
        <is>
          <t>Bernardo, Aldo S.</t>
        </is>
      </c>
      <c r="N353" t="inlineStr">
        <is>
          <t>Baltimore : Johns Hopkins Press, [1962]</t>
        </is>
      </c>
      <c r="O353" t="inlineStr">
        <is>
          <t>1962</t>
        </is>
      </c>
      <c r="Q353" t="inlineStr">
        <is>
          <t>eng</t>
        </is>
      </c>
      <c r="R353" t="inlineStr">
        <is>
          <t>mdu</t>
        </is>
      </c>
      <c r="T353" t="inlineStr">
        <is>
          <t xml:space="preserve">PQ </t>
        </is>
      </c>
      <c r="U353" t="n">
        <v>5</v>
      </c>
      <c r="V353" t="n">
        <v>5</v>
      </c>
      <c r="W353" t="inlineStr">
        <is>
          <t>1997-04-27</t>
        </is>
      </c>
      <c r="X353" t="inlineStr">
        <is>
          <t>1997-04-27</t>
        </is>
      </c>
      <c r="Y353" t="inlineStr">
        <is>
          <t>1990-05-30</t>
        </is>
      </c>
      <c r="Z353" t="inlineStr">
        <is>
          <t>1990-05-30</t>
        </is>
      </c>
      <c r="AA353" t="n">
        <v>511</v>
      </c>
      <c r="AB353" t="n">
        <v>430</v>
      </c>
      <c r="AC353" t="n">
        <v>461</v>
      </c>
      <c r="AD353" t="n">
        <v>3</v>
      </c>
      <c r="AE353" t="n">
        <v>3</v>
      </c>
      <c r="AF353" t="n">
        <v>29</v>
      </c>
      <c r="AG353" t="n">
        <v>31</v>
      </c>
      <c r="AH353" t="n">
        <v>10</v>
      </c>
      <c r="AI353" t="n">
        <v>10</v>
      </c>
      <c r="AJ353" t="n">
        <v>7</v>
      </c>
      <c r="AK353" t="n">
        <v>8</v>
      </c>
      <c r="AL353" t="n">
        <v>18</v>
      </c>
      <c r="AM353" t="n">
        <v>19</v>
      </c>
      <c r="AN353" t="n">
        <v>2</v>
      </c>
      <c r="AO353" t="n">
        <v>2</v>
      </c>
      <c r="AP353" t="n">
        <v>0</v>
      </c>
      <c r="AQ353" t="n">
        <v>0</v>
      </c>
      <c r="AR353" t="inlineStr">
        <is>
          <t>No</t>
        </is>
      </c>
      <c r="AS353" t="inlineStr">
        <is>
          <t>Yes</t>
        </is>
      </c>
      <c r="AT353">
        <f>HYPERLINK("http://catalog.hathitrust.org/Record/001219684","HathiTrust Record")</f>
        <v/>
      </c>
      <c r="AU353">
        <f>HYPERLINK("https://creighton-primo.hosted.exlibrisgroup.com/primo-explore/search?tab=default_tab&amp;search_scope=EVERYTHING&amp;vid=01CRU&amp;lang=en_US&amp;offset=0&amp;query=any,contains,991003905499702656","Catalog Record")</f>
        <v/>
      </c>
      <c r="AV353">
        <f>HYPERLINK("http://www.worldcat.org/oclc/1836630","WorldCat Record")</f>
        <v/>
      </c>
      <c r="AW353" t="inlineStr">
        <is>
          <t>2753684:eng</t>
        </is>
      </c>
      <c r="AX353" t="inlineStr">
        <is>
          <t>1836630</t>
        </is>
      </c>
      <c r="AY353" t="inlineStr">
        <is>
          <t>991003905499702656</t>
        </is>
      </c>
      <c r="AZ353" t="inlineStr">
        <is>
          <t>991003905499702656</t>
        </is>
      </c>
      <c r="BA353" t="inlineStr">
        <is>
          <t>2257518340002656</t>
        </is>
      </c>
      <c r="BB353" t="inlineStr">
        <is>
          <t>BOOK</t>
        </is>
      </c>
      <c r="BE353" t="inlineStr">
        <is>
          <t>32285000159565</t>
        </is>
      </c>
      <c r="BF353" t="inlineStr">
        <is>
          <t>893525409</t>
        </is>
      </c>
    </row>
    <row r="354">
      <c r="A354" t="inlineStr">
        <is>
          <t>No</t>
        </is>
      </c>
      <c r="B354" t="inlineStr">
        <is>
          <t>CURAL</t>
        </is>
      </c>
      <c r="C354" t="inlineStr">
        <is>
          <t>SHELVES</t>
        </is>
      </c>
      <c r="D354" t="inlineStr">
        <is>
          <t>PQ45 .M3 1990</t>
        </is>
      </c>
      <c r="E354" t="inlineStr">
        <is>
          <t>0                      PQ 0045000M  3           1990</t>
        </is>
      </c>
      <c r="F354" t="inlineStr">
        <is>
          <t>A quoi pense la littérature? : exercices de philosophie littéraire / Pierre Macherey.</t>
        </is>
      </c>
      <c r="H354" t="inlineStr">
        <is>
          <t>No</t>
        </is>
      </c>
      <c r="I354" t="inlineStr">
        <is>
          <t>1</t>
        </is>
      </c>
      <c r="J354" t="inlineStr">
        <is>
          <t>No</t>
        </is>
      </c>
      <c r="K354" t="inlineStr">
        <is>
          <t>No</t>
        </is>
      </c>
      <c r="L354" t="inlineStr">
        <is>
          <t>0</t>
        </is>
      </c>
      <c r="M354" t="inlineStr">
        <is>
          <t>Macherey, Pierre.</t>
        </is>
      </c>
      <c r="N354" t="inlineStr">
        <is>
          <t>Paris : Presses universitaires de France, c1990.</t>
        </is>
      </c>
      <c r="O354" t="inlineStr">
        <is>
          <t>1990</t>
        </is>
      </c>
      <c r="P354" t="inlineStr">
        <is>
          <t>1re éd.</t>
        </is>
      </c>
      <c r="Q354" t="inlineStr">
        <is>
          <t>fre</t>
        </is>
      </c>
      <c r="R354" t="inlineStr">
        <is>
          <t xml:space="preserve">fr </t>
        </is>
      </c>
      <c r="S354" t="inlineStr">
        <is>
          <t>Pratiques théoriques, 0753-6216</t>
        </is>
      </c>
      <c r="T354" t="inlineStr">
        <is>
          <t xml:space="preserve">PQ </t>
        </is>
      </c>
      <c r="U354" t="n">
        <v>2</v>
      </c>
      <c r="V354" t="n">
        <v>2</v>
      </c>
      <c r="W354" t="inlineStr">
        <is>
          <t>1999-01-12</t>
        </is>
      </c>
      <c r="X354" t="inlineStr">
        <is>
          <t>1999-01-12</t>
        </is>
      </c>
      <c r="Y354" t="inlineStr">
        <is>
          <t>1995-08-21</t>
        </is>
      </c>
      <c r="Z354" t="inlineStr">
        <is>
          <t>1995-08-21</t>
        </is>
      </c>
      <c r="AA354" t="n">
        <v>150</v>
      </c>
      <c r="AB354" t="n">
        <v>84</v>
      </c>
      <c r="AC354" t="n">
        <v>89</v>
      </c>
      <c r="AD354" t="n">
        <v>3</v>
      </c>
      <c r="AE354" t="n">
        <v>3</v>
      </c>
      <c r="AF354" t="n">
        <v>6</v>
      </c>
      <c r="AG354" t="n">
        <v>6</v>
      </c>
      <c r="AH354" t="n">
        <v>0</v>
      </c>
      <c r="AI354" t="n">
        <v>0</v>
      </c>
      <c r="AJ354" t="n">
        <v>3</v>
      </c>
      <c r="AK354" t="n">
        <v>3</v>
      </c>
      <c r="AL354" t="n">
        <v>2</v>
      </c>
      <c r="AM354" t="n">
        <v>2</v>
      </c>
      <c r="AN354" t="n">
        <v>2</v>
      </c>
      <c r="AO354" t="n">
        <v>2</v>
      </c>
      <c r="AP354" t="n">
        <v>0</v>
      </c>
      <c r="AQ354" t="n">
        <v>0</v>
      </c>
      <c r="AR354" t="inlineStr">
        <is>
          <t>No</t>
        </is>
      </c>
      <c r="AS354" t="inlineStr">
        <is>
          <t>Yes</t>
        </is>
      </c>
      <c r="AT354">
        <f>HYPERLINK("http://catalog.hathitrust.org/Record/002427300","HathiTrust Record")</f>
        <v/>
      </c>
      <c r="AU354">
        <f>HYPERLINK("https://creighton-primo.hosted.exlibrisgroup.com/primo-explore/search?tab=default_tab&amp;search_scope=EVERYTHING&amp;vid=01CRU&amp;lang=en_US&amp;offset=0&amp;query=any,contains,991001891659702656","Catalog Record")</f>
        <v/>
      </c>
      <c r="AV354">
        <f>HYPERLINK("http://www.worldcat.org/oclc/23871549","WorldCat Record")</f>
        <v/>
      </c>
      <c r="AW354" t="inlineStr">
        <is>
          <t>256007110:fre</t>
        </is>
      </c>
      <c r="AX354" t="inlineStr">
        <is>
          <t>23871549</t>
        </is>
      </c>
      <c r="AY354" t="inlineStr">
        <is>
          <t>991001891659702656</t>
        </is>
      </c>
      <c r="AZ354" t="inlineStr">
        <is>
          <t>991001891659702656</t>
        </is>
      </c>
      <c r="BA354" t="inlineStr">
        <is>
          <t>2265055050002656</t>
        </is>
      </c>
      <c r="BB354" t="inlineStr">
        <is>
          <t>BOOK</t>
        </is>
      </c>
      <c r="BD354" t="inlineStr">
        <is>
          <t>9782130433095</t>
        </is>
      </c>
      <c r="BE354" t="inlineStr">
        <is>
          <t>32285002077906</t>
        </is>
      </c>
      <c r="BF354" t="inlineStr">
        <is>
          <t>893529314</t>
        </is>
      </c>
    </row>
    <row r="355">
      <c r="A355" t="inlineStr">
        <is>
          <t>No</t>
        </is>
      </c>
      <c r="B355" t="inlineStr">
        <is>
          <t>CURAL</t>
        </is>
      </c>
      <c r="C355" t="inlineStr">
        <is>
          <t>SHELVES</t>
        </is>
      </c>
      <c r="D355" t="inlineStr">
        <is>
          <t>PQ4505 .B45</t>
        </is>
      </c>
      <c r="E355" t="inlineStr">
        <is>
          <t>0                      PQ 4505000B  45</t>
        </is>
      </c>
      <c r="F355" t="inlineStr">
        <is>
          <t>Petrarch / by Thomas G. Bergin.</t>
        </is>
      </c>
      <c r="H355" t="inlineStr">
        <is>
          <t>No</t>
        </is>
      </c>
      <c r="I355" t="inlineStr">
        <is>
          <t>1</t>
        </is>
      </c>
      <c r="J355" t="inlineStr">
        <is>
          <t>No</t>
        </is>
      </c>
      <c r="K355" t="inlineStr">
        <is>
          <t>No</t>
        </is>
      </c>
      <c r="L355" t="inlineStr">
        <is>
          <t>0</t>
        </is>
      </c>
      <c r="M355" t="inlineStr">
        <is>
          <t>Bergin, Thomas Goddard, 1904-1987.</t>
        </is>
      </c>
      <c r="N355" t="inlineStr">
        <is>
          <t>New York : Twayne Publishers, [1970]</t>
        </is>
      </c>
      <c r="O355" t="inlineStr">
        <is>
          <t>1970</t>
        </is>
      </c>
      <c r="Q355" t="inlineStr">
        <is>
          <t>eng</t>
        </is>
      </c>
      <c r="R355" t="inlineStr">
        <is>
          <t>nyu</t>
        </is>
      </c>
      <c r="S355" t="inlineStr">
        <is>
          <t>Twayne's world authors series, 81. Italy</t>
        </is>
      </c>
      <c r="T355" t="inlineStr">
        <is>
          <t xml:space="preserve">PQ </t>
        </is>
      </c>
      <c r="U355" t="n">
        <v>9</v>
      </c>
      <c r="V355" t="n">
        <v>9</v>
      </c>
      <c r="W355" t="inlineStr">
        <is>
          <t>2003-03-31</t>
        </is>
      </c>
      <c r="X355" t="inlineStr">
        <is>
          <t>2003-03-31</t>
        </is>
      </c>
      <c r="Y355" t="inlineStr">
        <is>
          <t>1993-12-28</t>
        </is>
      </c>
      <c r="Z355" t="inlineStr">
        <is>
          <t>1993-12-28</t>
        </is>
      </c>
      <c r="AA355" t="n">
        <v>866</v>
      </c>
      <c r="AB355" t="n">
        <v>779</v>
      </c>
      <c r="AC355" t="n">
        <v>785</v>
      </c>
      <c r="AD355" t="n">
        <v>5</v>
      </c>
      <c r="AE355" t="n">
        <v>5</v>
      </c>
      <c r="AF355" t="n">
        <v>28</v>
      </c>
      <c r="AG355" t="n">
        <v>29</v>
      </c>
      <c r="AH355" t="n">
        <v>10</v>
      </c>
      <c r="AI355" t="n">
        <v>10</v>
      </c>
      <c r="AJ355" t="n">
        <v>8</v>
      </c>
      <c r="AK355" t="n">
        <v>9</v>
      </c>
      <c r="AL355" t="n">
        <v>15</v>
      </c>
      <c r="AM355" t="n">
        <v>16</v>
      </c>
      <c r="AN355" t="n">
        <v>4</v>
      </c>
      <c r="AO355" t="n">
        <v>4</v>
      </c>
      <c r="AP355" t="n">
        <v>0</v>
      </c>
      <c r="AQ355" t="n">
        <v>0</v>
      </c>
      <c r="AR355" t="inlineStr">
        <is>
          <t>No</t>
        </is>
      </c>
      <c r="AS355" t="inlineStr">
        <is>
          <t>Yes</t>
        </is>
      </c>
      <c r="AT355">
        <f>HYPERLINK("http://catalog.hathitrust.org/Record/001015756","HathiTrust Record")</f>
        <v/>
      </c>
      <c r="AU355">
        <f>HYPERLINK("https://creighton-primo.hosted.exlibrisgroup.com/primo-explore/search?tab=default_tab&amp;search_scope=EVERYTHING&amp;vid=01CRU&amp;lang=en_US&amp;offset=0&amp;query=any,contains,991000160139702656","Catalog Record")</f>
        <v/>
      </c>
      <c r="AV355">
        <f>HYPERLINK("http://www.worldcat.org/oclc/61328","WorldCat Record")</f>
        <v/>
      </c>
      <c r="AW355" t="inlineStr">
        <is>
          <t>137974231:eng</t>
        </is>
      </c>
      <c r="AX355" t="inlineStr">
        <is>
          <t>61328</t>
        </is>
      </c>
      <c r="AY355" t="inlineStr">
        <is>
          <t>991000160139702656</t>
        </is>
      </c>
      <c r="AZ355" t="inlineStr">
        <is>
          <t>991000160139702656</t>
        </is>
      </c>
      <c r="BA355" t="inlineStr">
        <is>
          <t>2255302570002656</t>
        </is>
      </c>
      <c r="BB355" t="inlineStr">
        <is>
          <t>BOOK</t>
        </is>
      </c>
      <c r="BE355" t="inlineStr">
        <is>
          <t>32285001827400</t>
        </is>
      </c>
      <c r="BF355" t="inlineStr">
        <is>
          <t>893237121</t>
        </is>
      </c>
    </row>
    <row r="356">
      <c r="A356" t="inlineStr">
        <is>
          <t>No</t>
        </is>
      </c>
      <c r="B356" t="inlineStr">
        <is>
          <t>CURAL</t>
        </is>
      </c>
      <c r="C356" t="inlineStr">
        <is>
          <t>SHELVES</t>
        </is>
      </c>
      <c r="D356" t="inlineStr">
        <is>
          <t>PQ4535 .P4 1980</t>
        </is>
      </c>
      <c r="E356" t="inlineStr">
        <is>
          <t>0                      PQ 4535000P  4           1980</t>
        </is>
      </c>
      <c r="F356" t="inlineStr">
        <is>
          <t>Petrarch and Petrarchism : the English and French traditions / Stephen Minta.</t>
        </is>
      </c>
      <c r="H356" t="inlineStr">
        <is>
          <t>No</t>
        </is>
      </c>
      <c r="I356" t="inlineStr">
        <is>
          <t>1</t>
        </is>
      </c>
      <c r="J356" t="inlineStr">
        <is>
          <t>No</t>
        </is>
      </c>
      <c r="K356" t="inlineStr">
        <is>
          <t>No</t>
        </is>
      </c>
      <c r="L356" t="inlineStr">
        <is>
          <t>0</t>
        </is>
      </c>
      <c r="M356" t="inlineStr">
        <is>
          <t>Petrarca, Francesco, 1304-1374.</t>
        </is>
      </c>
      <c r="N356" t="inlineStr">
        <is>
          <t>New York : Barnes and Noble, 1980.</t>
        </is>
      </c>
      <c r="O356" t="inlineStr">
        <is>
          <t>1980</t>
        </is>
      </c>
      <c r="Q356" t="inlineStr">
        <is>
          <t>eng</t>
        </is>
      </c>
      <c r="R356" t="inlineStr">
        <is>
          <t>nyu</t>
        </is>
      </c>
      <c r="S356" t="inlineStr">
        <is>
          <t>Literature in context (Barnes &amp; Noble Books)</t>
        </is>
      </c>
      <c r="T356" t="inlineStr">
        <is>
          <t xml:space="preserve">PQ </t>
        </is>
      </c>
      <c r="U356" t="n">
        <v>9</v>
      </c>
      <c r="V356" t="n">
        <v>9</v>
      </c>
      <c r="W356" t="inlineStr">
        <is>
          <t>1997-12-07</t>
        </is>
      </c>
      <c r="X356" t="inlineStr">
        <is>
          <t>1997-12-07</t>
        </is>
      </c>
      <c r="Y356" t="inlineStr">
        <is>
          <t>1990-04-04</t>
        </is>
      </c>
      <c r="Z356" t="inlineStr">
        <is>
          <t>1990-04-04</t>
        </is>
      </c>
      <c r="AA356" t="n">
        <v>99</v>
      </c>
      <c r="AB356" t="n">
        <v>88</v>
      </c>
      <c r="AC356" t="n">
        <v>93</v>
      </c>
      <c r="AD356" t="n">
        <v>2</v>
      </c>
      <c r="AE356" t="n">
        <v>2</v>
      </c>
      <c r="AF356" t="n">
        <v>3</v>
      </c>
      <c r="AG356" t="n">
        <v>3</v>
      </c>
      <c r="AH356" t="n">
        <v>1</v>
      </c>
      <c r="AI356" t="n">
        <v>1</v>
      </c>
      <c r="AJ356" t="n">
        <v>1</v>
      </c>
      <c r="AK356" t="n">
        <v>1</v>
      </c>
      <c r="AL356" t="n">
        <v>1</v>
      </c>
      <c r="AM356" t="n">
        <v>1</v>
      </c>
      <c r="AN356" t="n">
        <v>1</v>
      </c>
      <c r="AO356" t="n">
        <v>1</v>
      </c>
      <c r="AP356" t="n">
        <v>0</v>
      </c>
      <c r="AQ356" t="n">
        <v>0</v>
      </c>
      <c r="AR356" t="inlineStr">
        <is>
          <t>No</t>
        </is>
      </c>
      <c r="AS356" t="inlineStr">
        <is>
          <t>No</t>
        </is>
      </c>
      <c r="AU356">
        <f>HYPERLINK("https://creighton-primo.hosted.exlibrisgroup.com/primo-explore/search?tab=default_tab&amp;search_scope=EVERYTHING&amp;vid=01CRU&amp;lang=en_US&amp;offset=0&amp;query=any,contains,991004976119702656","Catalog Record")</f>
        <v/>
      </c>
      <c r="AV356">
        <f>HYPERLINK("http://www.worldcat.org/oclc/6385615","WorldCat Record")</f>
        <v/>
      </c>
      <c r="AW356" t="inlineStr">
        <is>
          <t>10628281855:eng</t>
        </is>
      </c>
      <c r="AX356" t="inlineStr">
        <is>
          <t>6385615</t>
        </is>
      </c>
      <c r="AY356" t="inlineStr">
        <is>
          <t>991004976119702656</t>
        </is>
      </c>
      <c r="AZ356" t="inlineStr">
        <is>
          <t>991004976119702656</t>
        </is>
      </c>
      <c r="BA356" t="inlineStr">
        <is>
          <t>2265044730002656</t>
        </is>
      </c>
      <c r="BB356" t="inlineStr">
        <is>
          <t>BOOK</t>
        </is>
      </c>
      <c r="BD356" t="inlineStr">
        <is>
          <t>9780064948692</t>
        </is>
      </c>
      <c r="BE356" t="inlineStr">
        <is>
          <t>32285000108976</t>
        </is>
      </c>
      <c r="BF356" t="inlineStr">
        <is>
          <t>893594308</t>
        </is>
      </c>
    </row>
    <row r="357">
      <c r="A357" t="inlineStr">
        <is>
          <t>No</t>
        </is>
      </c>
      <c r="B357" t="inlineStr">
        <is>
          <t>CURAL</t>
        </is>
      </c>
      <c r="C357" t="inlineStr">
        <is>
          <t>SHELVES</t>
        </is>
      </c>
      <c r="D357" t="inlineStr">
        <is>
          <t>PQ4542 .T7 1979</t>
        </is>
      </c>
      <c r="E357" t="inlineStr">
        <is>
          <t>0                      PQ 4542000T  7           1979</t>
        </is>
      </c>
      <c r="F357" t="inlineStr">
        <is>
          <t>The poet as philosopher : Petrarch and the formation of Renaissance consciousness / Charles Trinkaus.</t>
        </is>
      </c>
      <c r="H357" t="inlineStr">
        <is>
          <t>No</t>
        </is>
      </c>
      <c r="I357" t="inlineStr">
        <is>
          <t>1</t>
        </is>
      </c>
      <c r="J357" t="inlineStr">
        <is>
          <t>No</t>
        </is>
      </c>
      <c r="K357" t="inlineStr">
        <is>
          <t>No</t>
        </is>
      </c>
      <c r="L357" t="inlineStr">
        <is>
          <t>0</t>
        </is>
      </c>
      <c r="M357" t="inlineStr">
        <is>
          <t>Trinkaus, Charles, 1911-1999.</t>
        </is>
      </c>
      <c r="N357" t="inlineStr">
        <is>
          <t>New Haven : Yale University Press, 1979.</t>
        </is>
      </c>
      <c r="O357" t="inlineStr">
        <is>
          <t>1979</t>
        </is>
      </c>
      <c r="Q357" t="inlineStr">
        <is>
          <t>eng</t>
        </is>
      </c>
      <c r="R357" t="inlineStr">
        <is>
          <t>ctu</t>
        </is>
      </c>
      <c r="T357" t="inlineStr">
        <is>
          <t xml:space="preserve">PQ </t>
        </is>
      </c>
      <c r="U357" t="n">
        <v>11</v>
      </c>
      <c r="V357" t="n">
        <v>11</v>
      </c>
      <c r="W357" t="inlineStr">
        <is>
          <t>1997-12-09</t>
        </is>
      </c>
      <c r="X357" t="inlineStr">
        <is>
          <t>1997-12-09</t>
        </is>
      </c>
      <c r="Y357" t="inlineStr">
        <is>
          <t>1991-05-20</t>
        </is>
      </c>
      <c r="Z357" t="inlineStr">
        <is>
          <t>1991-05-20</t>
        </is>
      </c>
      <c r="AA357" t="n">
        <v>676</v>
      </c>
      <c r="AB357" t="n">
        <v>535</v>
      </c>
      <c r="AC357" t="n">
        <v>671</v>
      </c>
      <c r="AD357" t="n">
        <v>4</v>
      </c>
      <c r="AE357" t="n">
        <v>6</v>
      </c>
      <c r="AF357" t="n">
        <v>29</v>
      </c>
      <c r="AG357" t="n">
        <v>36</v>
      </c>
      <c r="AH357" t="n">
        <v>9</v>
      </c>
      <c r="AI357" t="n">
        <v>12</v>
      </c>
      <c r="AJ357" t="n">
        <v>8</v>
      </c>
      <c r="AK357" t="n">
        <v>9</v>
      </c>
      <c r="AL357" t="n">
        <v>15</v>
      </c>
      <c r="AM357" t="n">
        <v>17</v>
      </c>
      <c r="AN357" t="n">
        <v>3</v>
      </c>
      <c r="AO357" t="n">
        <v>5</v>
      </c>
      <c r="AP357" t="n">
        <v>0</v>
      </c>
      <c r="AQ357" t="n">
        <v>0</v>
      </c>
      <c r="AR357" t="inlineStr">
        <is>
          <t>No</t>
        </is>
      </c>
      <c r="AS357" t="inlineStr">
        <is>
          <t>No</t>
        </is>
      </c>
      <c r="AU357">
        <f>HYPERLINK("https://creighton-primo.hosted.exlibrisgroup.com/primo-explore/search?tab=default_tab&amp;search_scope=EVERYTHING&amp;vid=01CRU&amp;lang=en_US&amp;offset=0&amp;query=any,contains,991004774869702656","Catalog Record")</f>
        <v/>
      </c>
      <c r="AV357">
        <f>HYPERLINK("http://www.worldcat.org/oclc/5100825","WorldCat Record")</f>
        <v/>
      </c>
      <c r="AW357" t="inlineStr">
        <is>
          <t>918008847:eng</t>
        </is>
      </c>
      <c r="AX357" t="inlineStr">
        <is>
          <t>5100825</t>
        </is>
      </c>
      <c r="AY357" t="inlineStr">
        <is>
          <t>991004774869702656</t>
        </is>
      </c>
      <c r="AZ357" t="inlineStr">
        <is>
          <t>991004774869702656</t>
        </is>
      </c>
      <c r="BA357" t="inlineStr">
        <is>
          <t>2256468210002656</t>
        </is>
      </c>
      <c r="BB357" t="inlineStr">
        <is>
          <t>BOOK</t>
        </is>
      </c>
      <c r="BD357" t="inlineStr">
        <is>
          <t>9780300023275</t>
        </is>
      </c>
      <c r="BE357" t="inlineStr">
        <is>
          <t>32285000597871</t>
        </is>
      </c>
      <c r="BF357" t="inlineStr">
        <is>
          <t>893795267</t>
        </is>
      </c>
    </row>
    <row r="358">
      <c r="A358" t="inlineStr">
        <is>
          <t>No</t>
        </is>
      </c>
      <c r="B358" t="inlineStr">
        <is>
          <t>CURAL</t>
        </is>
      </c>
      <c r="C358" t="inlineStr">
        <is>
          <t>SHELVES</t>
        </is>
      </c>
      <c r="D358" t="inlineStr">
        <is>
          <t>PQ4630.M3 Z87</t>
        </is>
      </c>
      <c r="E358" t="inlineStr">
        <is>
          <t>0                      PQ 4630000M  3                  Z  87</t>
        </is>
      </c>
      <c r="F358" t="inlineStr">
        <is>
          <t>Lorenzo de'Medici.</t>
        </is>
      </c>
      <c r="H358" t="inlineStr">
        <is>
          <t>No</t>
        </is>
      </c>
      <c r="I358" t="inlineStr">
        <is>
          <t>1</t>
        </is>
      </c>
      <c r="J358" t="inlineStr">
        <is>
          <t>No</t>
        </is>
      </c>
      <c r="K358" t="inlineStr">
        <is>
          <t>No</t>
        </is>
      </c>
      <c r="L358" t="inlineStr">
        <is>
          <t>0</t>
        </is>
      </c>
      <c r="M358" t="inlineStr">
        <is>
          <t>Sturm-Maddox, Sara.</t>
        </is>
      </c>
      <c r="N358" t="inlineStr">
        <is>
          <t>New York, Twayne Publishers [1974]</t>
        </is>
      </c>
      <c r="O358" t="inlineStr">
        <is>
          <t>1974</t>
        </is>
      </c>
      <c r="Q358" t="inlineStr">
        <is>
          <t>eng</t>
        </is>
      </c>
      <c r="R358" t="inlineStr">
        <is>
          <t>nyu</t>
        </is>
      </c>
      <c r="S358" t="inlineStr">
        <is>
          <t>Twayne's world authors series ; TWAS 288. Italy</t>
        </is>
      </c>
      <c r="T358" t="inlineStr">
        <is>
          <t xml:space="preserve">PQ </t>
        </is>
      </c>
      <c r="U358" t="n">
        <v>3</v>
      </c>
      <c r="V358" t="n">
        <v>3</v>
      </c>
      <c r="W358" t="inlineStr">
        <is>
          <t>1997-11-06</t>
        </is>
      </c>
      <c r="X358" t="inlineStr">
        <is>
          <t>1997-11-06</t>
        </is>
      </c>
      <c r="Y358" t="inlineStr">
        <is>
          <t>1997-07-31</t>
        </is>
      </c>
      <c r="Z358" t="inlineStr">
        <is>
          <t>1997-07-31</t>
        </is>
      </c>
      <c r="AA358" t="n">
        <v>641</v>
      </c>
      <c r="AB358" t="n">
        <v>570</v>
      </c>
      <c r="AC358" t="n">
        <v>577</v>
      </c>
      <c r="AD358" t="n">
        <v>2</v>
      </c>
      <c r="AE358" t="n">
        <v>2</v>
      </c>
      <c r="AF358" t="n">
        <v>18</v>
      </c>
      <c r="AG358" t="n">
        <v>18</v>
      </c>
      <c r="AH358" t="n">
        <v>9</v>
      </c>
      <c r="AI358" t="n">
        <v>9</v>
      </c>
      <c r="AJ358" t="n">
        <v>5</v>
      </c>
      <c r="AK358" t="n">
        <v>5</v>
      </c>
      <c r="AL358" t="n">
        <v>10</v>
      </c>
      <c r="AM358" t="n">
        <v>10</v>
      </c>
      <c r="AN358" t="n">
        <v>1</v>
      </c>
      <c r="AO358" t="n">
        <v>1</v>
      </c>
      <c r="AP358" t="n">
        <v>0</v>
      </c>
      <c r="AQ358" t="n">
        <v>0</v>
      </c>
      <c r="AR358" t="inlineStr">
        <is>
          <t>No</t>
        </is>
      </c>
      <c r="AS358" t="inlineStr">
        <is>
          <t>Yes</t>
        </is>
      </c>
      <c r="AT358">
        <f>HYPERLINK("http://catalog.hathitrust.org/Record/001219492","HathiTrust Record")</f>
        <v/>
      </c>
      <c r="AU358">
        <f>HYPERLINK("https://creighton-primo.hosted.exlibrisgroup.com/primo-explore/search?tab=default_tab&amp;search_scope=EVERYTHING&amp;vid=01CRU&amp;lang=en_US&amp;offset=0&amp;query=any,contains,991003215319702656","Catalog Record")</f>
        <v/>
      </c>
      <c r="AV358">
        <f>HYPERLINK("http://www.worldcat.org/oclc/741124","WorldCat Record")</f>
        <v/>
      </c>
      <c r="AW358" t="inlineStr">
        <is>
          <t>1804353:eng</t>
        </is>
      </c>
      <c r="AX358" t="inlineStr">
        <is>
          <t>741124</t>
        </is>
      </c>
      <c r="AY358" t="inlineStr">
        <is>
          <t>991003215319702656</t>
        </is>
      </c>
      <c r="AZ358" t="inlineStr">
        <is>
          <t>991003215319702656</t>
        </is>
      </c>
      <c r="BA358" t="inlineStr">
        <is>
          <t>2270967750002656</t>
        </is>
      </c>
      <c r="BB358" t="inlineStr">
        <is>
          <t>BOOK</t>
        </is>
      </c>
      <c r="BD358" t="inlineStr">
        <is>
          <t>9780805726091</t>
        </is>
      </c>
      <c r="BE358" t="inlineStr">
        <is>
          <t>32285002799079</t>
        </is>
      </c>
      <c r="BF358" t="inlineStr">
        <is>
          <t>893524550</t>
        </is>
      </c>
    </row>
    <row r="359">
      <c r="A359" t="inlineStr">
        <is>
          <t>No</t>
        </is>
      </c>
      <c r="B359" t="inlineStr">
        <is>
          <t>CURAL</t>
        </is>
      </c>
      <c r="C359" t="inlineStr">
        <is>
          <t>SHELVES</t>
        </is>
      </c>
      <c r="D359" t="inlineStr">
        <is>
          <t>PQ4639.A3 C6</t>
        </is>
      </c>
      <c r="E359" t="inlineStr">
        <is>
          <t>0                      PQ 4639000A  3                  C  6</t>
        </is>
      </c>
      <c r="F359" t="inlineStr">
        <is>
          <t>The landscape of the mind: pastoralism and platonic theory in Tasso's Aminta and Shakespeare's early comedies.</t>
        </is>
      </c>
      <c r="H359" t="inlineStr">
        <is>
          <t>No</t>
        </is>
      </c>
      <c r="I359" t="inlineStr">
        <is>
          <t>1</t>
        </is>
      </c>
      <c r="J359" t="inlineStr">
        <is>
          <t>No</t>
        </is>
      </c>
      <c r="K359" t="inlineStr">
        <is>
          <t>No</t>
        </is>
      </c>
      <c r="L359" t="inlineStr">
        <is>
          <t>0</t>
        </is>
      </c>
      <c r="M359" t="inlineStr">
        <is>
          <t>Cody, Richard.</t>
        </is>
      </c>
      <c r="N359" t="inlineStr">
        <is>
          <t>Oxford, Clarendon P., 1969.</t>
        </is>
      </c>
      <c r="O359" t="inlineStr">
        <is>
          <t>1969</t>
        </is>
      </c>
      <c r="Q359" t="inlineStr">
        <is>
          <t>eng</t>
        </is>
      </c>
      <c r="R359" t="inlineStr">
        <is>
          <t>enk</t>
        </is>
      </c>
      <c r="T359" t="inlineStr">
        <is>
          <t xml:space="preserve">PQ </t>
        </is>
      </c>
      <c r="U359" t="n">
        <v>1</v>
      </c>
      <c r="V359" t="n">
        <v>1</v>
      </c>
      <c r="W359" t="inlineStr">
        <is>
          <t>2004-11-11</t>
        </is>
      </c>
      <c r="X359" t="inlineStr">
        <is>
          <t>2004-11-11</t>
        </is>
      </c>
      <c r="Y359" t="inlineStr">
        <is>
          <t>1997-07-31</t>
        </is>
      </c>
      <c r="Z359" t="inlineStr">
        <is>
          <t>1997-07-31</t>
        </is>
      </c>
      <c r="AA359" t="n">
        <v>556</v>
      </c>
      <c r="AB359" t="n">
        <v>418</v>
      </c>
      <c r="AC359" t="n">
        <v>428</v>
      </c>
      <c r="AD359" t="n">
        <v>4</v>
      </c>
      <c r="AE359" t="n">
        <v>4</v>
      </c>
      <c r="AF359" t="n">
        <v>28</v>
      </c>
      <c r="AG359" t="n">
        <v>28</v>
      </c>
      <c r="AH359" t="n">
        <v>9</v>
      </c>
      <c r="AI359" t="n">
        <v>9</v>
      </c>
      <c r="AJ359" t="n">
        <v>7</v>
      </c>
      <c r="AK359" t="n">
        <v>7</v>
      </c>
      <c r="AL359" t="n">
        <v>16</v>
      </c>
      <c r="AM359" t="n">
        <v>16</v>
      </c>
      <c r="AN359" t="n">
        <v>3</v>
      </c>
      <c r="AO359" t="n">
        <v>3</v>
      </c>
      <c r="AP359" t="n">
        <v>0</v>
      </c>
      <c r="AQ359" t="n">
        <v>0</v>
      </c>
      <c r="AR359" t="inlineStr">
        <is>
          <t>No</t>
        </is>
      </c>
      <c r="AS359" t="inlineStr">
        <is>
          <t>Yes</t>
        </is>
      </c>
      <c r="AT359">
        <f>HYPERLINK("http://catalog.hathitrust.org/Record/001807156","HathiTrust Record")</f>
        <v/>
      </c>
      <c r="AU359">
        <f>HYPERLINK("https://creighton-primo.hosted.exlibrisgroup.com/primo-explore/search?tab=default_tab&amp;search_scope=EVERYTHING&amp;vid=01CRU&amp;lang=en_US&amp;offset=0&amp;query=any,contains,991000084269702656","Catalog Record")</f>
        <v/>
      </c>
      <c r="AV359">
        <f>HYPERLINK("http://www.worldcat.org/oclc/32970","WorldCat Record")</f>
        <v/>
      </c>
      <c r="AW359" t="inlineStr">
        <is>
          <t>197854303:eng</t>
        </is>
      </c>
      <c r="AX359" t="inlineStr">
        <is>
          <t>32970</t>
        </is>
      </c>
      <c r="AY359" t="inlineStr">
        <is>
          <t>991000084269702656</t>
        </is>
      </c>
      <c r="AZ359" t="inlineStr">
        <is>
          <t>991000084269702656</t>
        </is>
      </c>
      <c r="BA359" t="inlineStr">
        <is>
          <t>2261610670002656</t>
        </is>
      </c>
      <c r="BB359" t="inlineStr">
        <is>
          <t>BOOK</t>
        </is>
      </c>
      <c r="BD359" t="inlineStr">
        <is>
          <t>9780198116806</t>
        </is>
      </c>
      <c r="BE359" t="inlineStr">
        <is>
          <t>32285002799087</t>
        </is>
      </c>
      <c r="BF359" t="inlineStr">
        <is>
          <t>893333192</t>
        </is>
      </c>
    </row>
    <row r="360">
      <c r="A360" t="inlineStr">
        <is>
          <t>No</t>
        </is>
      </c>
      <c r="B360" t="inlineStr">
        <is>
          <t>CURAL</t>
        </is>
      </c>
      <c r="C360" t="inlineStr">
        <is>
          <t>SHELVES</t>
        </is>
      </c>
      <c r="D360" t="inlineStr">
        <is>
          <t>PQ4642.E21 F3 1963</t>
        </is>
      </c>
      <c r="E360" t="inlineStr">
        <is>
          <t>0                      PQ 4642000E  21                 F  3           1963</t>
        </is>
      </c>
      <c r="F360" t="inlineStr">
        <is>
          <t>Jerusalem delivered; being a translation into English verse by Edward Fairfax of Tasso's Gerusalemme liberata. With an introd. by John Charles Nelson.</t>
        </is>
      </c>
      <c r="H360" t="inlineStr">
        <is>
          <t>No</t>
        </is>
      </c>
      <c r="I360" t="inlineStr">
        <is>
          <t>1</t>
        </is>
      </c>
      <c r="J360" t="inlineStr">
        <is>
          <t>No</t>
        </is>
      </c>
      <c r="K360" t="inlineStr">
        <is>
          <t>No</t>
        </is>
      </c>
      <c r="L360" t="inlineStr">
        <is>
          <t>0</t>
        </is>
      </c>
      <c r="M360" t="inlineStr">
        <is>
          <t>Tasso, Torquato, 1544-1595.</t>
        </is>
      </c>
      <c r="N360" t="inlineStr">
        <is>
          <t>New York, Capricorn Books [1963]</t>
        </is>
      </c>
      <c r="O360" t="inlineStr">
        <is>
          <t>1963</t>
        </is>
      </c>
      <c r="Q360" t="inlineStr">
        <is>
          <t>eng</t>
        </is>
      </c>
      <c r="R360" t="inlineStr">
        <is>
          <t xml:space="preserve">xx </t>
        </is>
      </c>
      <c r="T360" t="inlineStr">
        <is>
          <t xml:space="preserve">PQ </t>
        </is>
      </c>
      <c r="U360" t="n">
        <v>2</v>
      </c>
      <c r="V360" t="n">
        <v>2</v>
      </c>
      <c r="W360" t="inlineStr">
        <is>
          <t>1998-04-19</t>
        </is>
      </c>
      <c r="X360" t="inlineStr">
        <is>
          <t>1998-04-19</t>
        </is>
      </c>
      <c r="Y360" t="inlineStr">
        <is>
          <t>1997-07-31</t>
        </is>
      </c>
      <c r="Z360" t="inlineStr">
        <is>
          <t>1997-07-31</t>
        </is>
      </c>
      <c r="AA360" t="n">
        <v>335</v>
      </c>
      <c r="AB360" t="n">
        <v>309</v>
      </c>
      <c r="AC360" t="n">
        <v>2124</v>
      </c>
      <c r="AD360" t="n">
        <v>3</v>
      </c>
      <c r="AE360" t="n">
        <v>23</v>
      </c>
      <c r="AF360" t="n">
        <v>18</v>
      </c>
      <c r="AG360" t="n">
        <v>68</v>
      </c>
      <c r="AH360" t="n">
        <v>8</v>
      </c>
      <c r="AI360" t="n">
        <v>28</v>
      </c>
      <c r="AJ360" t="n">
        <v>4</v>
      </c>
      <c r="AK360" t="n">
        <v>11</v>
      </c>
      <c r="AL360" t="n">
        <v>8</v>
      </c>
      <c r="AM360" t="n">
        <v>28</v>
      </c>
      <c r="AN360" t="n">
        <v>2</v>
      </c>
      <c r="AO360" t="n">
        <v>15</v>
      </c>
      <c r="AP360" t="n">
        <v>0</v>
      </c>
      <c r="AQ360" t="n">
        <v>0</v>
      </c>
      <c r="AR360" t="inlineStr">
        <is>
          <t>No</t>
        </is>
      </c>
      <c r="AS360" t="inlineStr">
        <is>
          <t>Yes</t>
        </is>
      </c>
      <c r="AT360">
        <f>HYPERLINK("http://catalog.hathitrust.org/Record/001015812","HathiTrust Record")</f>
        <v/>
      </c>
      <c r="AU360">
        <f>HYPERLINK("https://creighton-primo.hosted.exlibrisgroup.com/primo-explore/search?tab=default_tab&amp;search_scope=EVERYTHING&amp;vid=01CRU&amp;lang=en_US&amp;offset=0&amp;query=any,contains,991003666769702656","Catalog Record")</f>
        <v/>
      </c>
      <c r="AV360">
        <f>HYPERLINK("http://www.worldcat.org/oclc/1281030","WorldCat Record")</f>
        <v/>
      </c>
      <c r="AW360" t="inlineStr">
        <is>
          <t>9565597695:eng</t>
        </is>
      </c>
      <c r="AX360" t="inlineStr">
        <is>
          <t>1281030</t>
        </is>
      </c>
      <c r="AY360" t="inlineStr">
        <is>
          <t>991003666769702656</t>
        </is>
      </c>
      <c r="AZ360" t="inlineStr">
        <is>
          <t>991003666769702656</t>
        </is>
      </c>
      <c r="BA360" t="inlineStr">
        <is>
          <t>2262528320002656</t>
        </is>
      </c>
      <c r="BB360" t="inlineStr">
        <is>
          <t>BOOK</t>
        </is>
      </c>
      <c r="BE360" t="inlineStr">
        <is>
          <t>32285002799095</t>
        </is>
      </c>
      <c r="BF360" t="inlineStr">
        <is>
          <t>893699258</t>
        </is>
      </c>
    </row>
    <row r="361">
      <c r="A361" t="inlineStr">
        <is>
          <t>No</t>
        </is>
      </c>
      <c r="B361" t="inlineStr">
        <is>
          <t>CURAL</t>
        </is>
      </c>
      <c r="C361" t="inlineStr">
        <is>
          <t>SHELVES</t>
        </is>
      </c>
      <c r="D361" t="inlineStr">
        <is>
          <t>PQ4807.O38 B37 2003</t>
        </is>
      </c>
      <c r="E361" t="inlineStr">
        <is>
          <t>0                      PQ 4807000O  38                 B  37          2003</t>
        </is>
      </c>
      <c r="F361" t="inlineStr">
        <is>
          <t>Barocco del Sud : racconti e prose / Vittorio Bodini ; a cura di Antonio Lucio Giannone.</t>
        </is>
      </c>
      <c r="H361" t="inlineStr">
        <is>
          <t>No</t>
        </is>
      </c>
      <c r="I361" t="inlineStr">
        <is>
          <t>1</t>
        </is>
      </c>
      <c r="J361" t="inlineStr">
        <is>
          <t>No</t>
        </is>
      </c>
      <c r="K361" t="inlineStr">
        <is>
          <t>No</t>
        </is>
      </c>
      <c r="L361" t="inlineStr">
        <is>
          <t>0</t>
        </is>
      </c>
      <c r="M361" t="inlineStr">
        <is>
          <t>Bodini, Vittorio, 1914-1970.</t>
        </is>
      </c>
      <c r="N361" t="inlineStr">
        <is>
          <t>Nardao (Lecce) : Besa, [2003]</t>
        </is>
      </c>
      <c r="O361" t="inlineStr">
        <is>
          <t>2003</t>
        </is>
      </c>
      <c r="Q361" t="inlineStr">
        <is>
          <t>ita</t>
        </is>
      </c>
      <c r="R361" t="inlineStr">
        <is>
          <t xml:space="preserve">it </t>
        </is>
      </c>
      <c r="S361" t="inlineStr">
        <is>
          <t>Bodiniana ; 1</t>
        </is>
      </c>
      <c r="T361" t="inlineStr">
        <is>
          <t xml:space="preserve">PQ </t>
        </is>
      </c>
      <c r="U361" t="n">
        <v>4</v>
      </c>
      <c r="V361" t="n">
        <v>4</v>
      </c>
      <c r="W361" t="inlineStr">
        <is>
          <t>2005-01-10</t>
        </is>
      </c>
      <c r="X361" t="inlineStr">
        <is>
          <t>2005-01-10</t>
        </is>
      </c>
      <c r="Y361" t="inlineStr">
        <is>
          <t>2004-06-10</t>
        </is>
      </c>
      <c r="Z361" t="inlineStr">
        <is>
          <t>2004-06-10</t>
        </is>
      </c>
      <c r="AA361" t="n">
        <v>13</v>
      </c>
      <c r="AB361" t="n">
        <v>8</v>
      </c>
      <c r="AC361" t="n">
        <v>9</v>
      </c>
      <c r="AD361" t="n">
        <v>1</v>
      </c>
      <c r="AE361" t="n">
        <v>1</v>
      </c>
      <c r="AF361" t="n">
        <v>0</v>
      </c>
      <c r="AG361" t="n">
        <v>0</v>
      </c>
      <c r="AH361" t="n">
        <v>0</v>
      </c>
      <c r="AI361" t="n">
        <v>0</v>
      </c>
      <c r="AJ361" t="n">
        <v>0</v>
      </c>
      <c r="AK361" t="n">
        <v>0</v>
      </c>
      <c r="AL361" t="n">
        <v>0</v>
      </c>
      <c r="AM361" t="n">
        <v>0</v>
      </c>
      <c r="AN361" t="n">
        <v>0</v>
      </c>
      <c r="AO361" t="n">
        <v>0</v>
      </c>
      <c r="AP361" t="n">
        <v>0</v>
      </c>
      <c r="AQ361" t="n">
        <v>0</v>
      </c>
      <c r="AR361" t="inlineStr">
        <is>
          <t>No</t>
        </is>
      </c>
      <c r="AS361" t="inlineStr">
        <is>
          <t>No</t>
        </is>
      </c>
      <c r="AU361">
        <f>HYPERLINK("https://creighton-primo.hosted.exlibrisgroup.com/primo-explore/search?tab=default_tab&amp;search_scope=EVERYTHING&amp;vid=01CRU&amp;lang=en_US&amp;offset=0&amp;query=any,contains,991004276889702656","Catalog Record")</f>
        <v/>
      </c>
      <c r="AV361">
        <f>HYPERLINK("http://www.worldcat.org/oclc/52442500","WorldCat Record")</f>
        <v/>
      </c>
      <c r="AW361" t="inlineStr">
        <is>
          <t>10337290:ita</t>
        </is>
      </c>
      <c r="AX361" t="inlineStr">
        <is>
          <t>52442500</t>
        </is>
      </c>
      <c r="AY361" t="inlineStr">
        <is>
          <t>991004276889702656</t>
        </is>
      </c>
      <c r="AZ361" t="inlineStr">
        <is>
          <t>991004276889702656</t>
        </is>
      </c>
      <c r="BA361" t="inlineStr">
        <is>
          <t>2270810990002656</t>
        </is>
      </c>
      <c r="BB361" t="inlineStr">
        <is>
          <t>BOOK</t>
        </is>
      </c>
      <c r="BD361" t="inlineStr">
        <is>
          <t>9788849701234</t>
        </is>
      </c>
      <c r="BE361" t="inlineStr">
        <is>
          <t>32285004909445</t>
        </is>
      </c>
      <c r="BF361" t="inlineStr">
        <is>
          <t>893800810</t>
        </is>
      </c>
    </row>
    <row r="362">
      <c r="A362" t="inlineStr">
        <is>
          <t>No</t>
        </is>
      </c>
      <c r="B362" t="inlineStr">
        <is>
          <t>CURAL</t>
        </is>
      </c>
      <c r="C362" t="inlineStr">
        <is>
          <t>SHELVES</t>
        </is>
      </c>
      <c r="D362" t="inlineStr">
        <is>
          <t>PQ4811.E6 M6 1974</t>
        </is>
      </c>
      <c r="E362" t="inlineStr">
        <is>
          <t>0                      PQ 4811000E  6                  M  6           1974</t>
        </is>
      </c>
      <c r="F362" t="inlineStr">
        <is>
          <t>The mother. Translated from the Italian by Mary G. Steegmann.</t>
        </is>
      </c>
      <c r="H362" t="inlineStr">
        <is>
          <t>No</t>
        </is>
      </c>
      <c r="I362" t="inlineStr">
        <is>
          <t>1</t>
        </is>
      </c>
      <c r="J362" t="inlineStr">
        <is>
          <t>No</t>
        </is>
      </c>
      <c r="K362" t="inlineStr">
        <is>
          <t>No</t>
        </is>
      </c>
      <c r="L362" t="inlineStr">
        <is>
          <t>0</t>
        </is>
      </c>
      <c r="M362" t="inlineStr">
        <is>
          <t>Deledda, Grazia, 1871-1936.</t>
        </is>
      </c>
      <c r="N362" t="inlineStr">
        <is>
          <t>Dunwoody, Ga., N. S. Berg, 1974.</t>
        </is>
      </c>
      <c r="O362" t="inlineStr">
        <is>
          <t>1974</t>
        </is>
      </c>
      <c r="Q362" t="inlineStr">
        <is>
          <t>eng</t>
        </is>
      </c>
      <c r="R362" t="inlineStr">
        <is>
          <t>gau</t>
        </is>
      </c>
      <c r="T362" t="inlineStr">
        <is>
          <t xml:space="preserve">PQ </t>
        </is>
      </c>
      <c r="U362" t="n">
        <v>1</v>
      </c>
      <c r="V362" t="n">
        <v>1</v>
      </c>
      <c r="W362" t="inlineStr">
        <is>
          <t>2005-12-23</t>
        </is>
      </c>
      <c r="X362" t="inlineStr">
        <is>
          <t>2005-12-23</t>
        </is>
      </c>
      <c r="Y362" t="inlineStr">
        <is>
          <t>1997-08-04</t>
        </is>
      </c>
      <c r="Z362" t="inlineStr">
        <is>
          <t>1997-08-04</t>
        </is>
      </c>
      <c r="AA362" t="n">
        <v>60</v>
      </c>
      <c r="AB362" t="n">
        <v>54</v>
      </c>
      <c r="AC362" t="n">
        <v>530</v>
      </c>
      <c r="AD362" t="n">
        <v>1</v>
      </c>
      <c r="AE362" t="n">
        <v>3</v>
      </c>
      <c r="AF362" t="n">
        <v>3</v>
      </c>
      <c r="AG362" t="n">
        <v>22</v>
      </c>
      <c r="AH362" t="n">
        <v>1</v>
      </c>
      <c r="AI362" t="n">
        <v>10</v>
      </c>
      <c r="AJ362" t="n">
        <v>1</v>
      </c>
      <c r="AK362" t="n">
        <v>3</v>
      </c>
      <c r="AL362" t="n">
        <v>2</v>
      </c>
      <c r="AM362" t="n">
        <v>9</v>
      </c>
      <c r="AN362" t="n">
        <v>0</v>
      </c>
      <c r="AO362" t="n">
        <v>2</v>
      </c>
      <c r="AP362" t="n">
        <v>0</v>
      </c>
      <c r="AQ362" t="n">
        <v>0</v>
      </c>
      <c r="AR362" t="inlineStr">
        <is>
          <t>No</t>
        </is>
      </c>
      <c r="AS362" t="inlineStr">
        <is>
          <t>Yes</t>
        </is>
      </c>
      <c r="AT362">
        <f>HYPERLINK("http://catalog.hathitrust.org/Record/102075847","HathiTrust Record")</f>
        <v/>
      </c>
      <c r="AU362">
        <f>HYPERLINK("https://creighton-primo.hosted.exlibrisgroup.com/primo-explore/search?tab=default_tab&amp;search_scope=EVERYTHING&amp;vid=01CRU&amp;lang=en_US&amp;offset=0&amp;query=any,contains,991003456289702656","Catalog Record")</f>
        <v/>
      </c>
      <c r="AV362">
        <f>HYPERLINK("http://www.worldcat.org/oclc/995672","WorldCat Record")</f>
        <v/>
      </c>
      <c r="AW362" t="inlineStr">
        <is>
          <t>553893:eng</t>
        </is>
      </c>
      <c r="AX362" t="inlineStr">
        <is>
          <t>995672</t>
        </is>
      </c>
      <c r="AY362" t="inlineStr">
        <is>
          <t>991003456289702656</t>
        </is>
      </c>
      <c r="AZ362" t="inlineStr">
        <is>
          <t>991003456289702656</t>
        </is>
      </c>
      <c r="BA362" t="inlineStr">
        <is>
          <t>2272513800002656</t>
        </is>
      </c>
      <c r="BB362" t="inlineStr">
        <is>
          <t>BOOK</t>
        </is>
      </c>
      <c r="BD362" t="inlineStr">
        <is>
          <t>9780910220576</t>
        </is>
      </c>
      <c r="BE362" t="inlineStr">
        <is>
          <t>32285002799582</t>
        </is>
      </c>
      <c r="BF362" t="inlineStr">
        <is>
          <t>893317991</t>
        </is>
      </c>
    </row>
    <row r="363">
      <c r="A363" t="inlineStr">
        <is>
          <t>No</t>
        </is>
      </c>
      <c r="B363" t="inlineStr">
        <is>
          <t>CURAL</t>
        </is>
      </c>
      <c r="C363" t="inlineStr">
        <is>
          <t>SHELVES</t>
        </is>
      </c>
      <c r="D363" t="inlineStr">
        <is>
          <t>PQ4835.A27 A25</t>
        </is>
      </c>
      <c r="E363" t="inlineStr">
        <is>
          <t>0                      PQ 4835000A  27                 A  25</t>
        </is>
      </c>
      <c r="F363" t="inlineStr">
        <is>
          <t>Four and twenty minds; essays by Giovanni Papini; selected and tr. by Ernest Hatch Wilkins.</t>
        </is>
      </c>
      <c r="H363" t="inlineStr">
        <is>
          <t>No</t>
        </is>
      </c>
      <c r="I363" t="inlineStr">
        <is>
          <t>1</t>
        </is>
      </c>
      <c r="J363" t="inlineStr">
        <is>
          <t>No</t>
        </is>
      </c>
      <c r="K363" t="inlineStr">
        <is>
          <t>No</t>
        </is>
      </c>
      <c r="L363" t="inlineStr">
        <is>
          <t>0</t>
        </is>
      </c>
      <c r="M363" t="inlineStr">
        <is>
          <t>Papini, Giovanni, 1881-1956.</t>
        </is>
      </c>
      <c r="N363" t="inlineStr">
        <is>
          <t>New York, Thomas Y. Crowell company [c1922]</t>
        </is>
      </c>
      <c r="O363" t="inlineStr">
        <is>
          <t>1922</t>
        </is>
      </c>
      <c r="Q363" t="inlineStr">
        <is>
          <t>eng</t>
        </is>
      </c>
      <c r="R363" t="inlineStr">
        <is>
          <t xml:space="preserve">xx </t>
        </is>
      </c>
      <c r="S363" t="inlineStr">
        <is>
          <t>Essay index reprint series</t>
        </is>
      </c>
      <c r="T363" t="inlineStr">
        <is>
          <t xml:space="preserve">PQ </t>
        </is>
      </c>
      <c r="U363" t="n">
        <v>4</v>
      </c>
      <c r="V363" t="n">
        <v>4</v>
      </c>
      <c r="W363" t="inlineStr">
        <is>
          <t>2003-12-08</t>
        </is>
      </c>
      <c r="X363" t="inlineStr">
        <is>
          <t>2003-12-08</t>
        </is>
      </c>
      <c r="Y363" t="inlineStr">
        <is>
          <t>1997-06-25</t>
        </is>
      </c>
      <c r="Z363" t="inlineStr">
        <is>
          <t>1997-06-25</t>
        </is>
      </c>
      <c r="AA363" t="n">
        <v>353</v>
      </c>
      <c r="AB363" t="n">
        <v>321</v>
      </c>
      <c r="AC363" t="n">
        <v>384</v>
      </c>
      <c r="AD363" t="n">
        <v>3</v>
      </c>
      <c r="AE363" t="n">
        <v>3</v>
      </c>
      <c r="AF363" t="n">
        <v>19</v>
      </c>
      <c r="AG363" t="n">
        <v>22</v>
      </c>
      <c r="AH363" t="n">
        <v>4</v>
      </c>
      <c r="AI363" t="n">
        <v>4</v>
      </c>
      <c r="AJ363" t="n">
        <v>5</v>
      </c>
      <c r="AK363" t="n">
        <v>5</v>
      </c>
      <c r="AL363" t="n">
        <v>11</v>
      </c>
      <c r="AM363" t="n">
        <v>14</v>
      </c>
      <c r="AN363" t="n">
        <v>2</v>
      </c>
      <c r="AO363" t="n">
        <v>2</v>
      </c>
      <c r="AP363" t="n">
        <v>0</v>
      </c>
      <c r="AQ363" t="n">
        <v>0</v>
      </c>
      <c r="AR363" t="inlineStr">
        <is>
          <t>Yes</t>
        </is>
      </c>
      <c r="AS363" t="inlineStr">
        <is>
          <t>No</t>
        </is>
      </c>
      <c r="AT363">
        <f>HYPERLINK("http://catalog.hathitrust.org/Record/001015854","HathiTrust Record")</f>
        <v/>
      </c>
      <c r="AU363">
        <f>HYPERLINK("https://creighton-primo.hosted.exlibrisgroup.com/primo-explore/search?tab=default_tab&amp;search_scope=EVERYTHING&amp;vid=01CRU&amp;lang=en_US&amp;offset=0&amp;query=any,contains,991003661149702656","Catalog Record")</f>
        <v/>
      </c>
      <c r="AV363">
        <f>HYPERLINK("http://www.worldcat.org/oclc/1269699","WorldCat Record")</f>
        <v/>
      </c>
      <c r="AW363" t="inlineStr">
        <is>
          <t>1747999512:eng</t>
        </is>
      </c>
      <c r="AX363" t="inlineStr">
        <is>
          <t>1269699</t>
        </is>
      </c>
      <c r="AY363" t="inlineStr">
        <is>
          <t>991003661149702656</t>
        </is>
      </c>
      <c r="AZ363" t="inlineStr">
        <is>
          <t>991003661149702656</t>
        </is>
      </c>
      <c r="BA363" t="inlineStr">
        <is>
          <t>2259746730002656</t>
        </is>
      </c>
      <c r="BB363" t="inlineStr">
        <is>
          <t>BOOK</t>
        </is>
      </c>
      <c r="BE363" t="inlineStr">
        <is>
          <t>32285002515350</t>
        </is>
      </c>
      <c r="BF363" t="inlineStr">
        <is>
          <t>893617576</t>
        </is>
      </c>
    </row>
    <row r="364">
      <c r="A364" t="inlineStr">
        <is>
          <t>No</t>
        </is>
      </c>
      <c r="B364" t="inlineStr">
        <is>
          <t>CURAL</t>
        </is>
      </c>
      <c r="C364" t="inlineStr">
        <is>
          <t>SHELVES</t>
        </is>
      </c>
      <c r="D364" t="inlineStr">
        <is>
          <t>PQ4835.I58 U63 1966</t>
        </is>
      </c>
      <c r="E364" t="inlineStr">
        <is>
          <t>0                      PQ 4835000I  58                 U  63          1966</t>
        </is>
      </c>
      <c r="F364" t="inlineStr">
        <is>
          <t>Man as an end : a defense of humanism ; literary, social, and political essays / translated from the Italian by Bernard Wall.</t>
        </is>
      </c>
      <c r="H364" t="inlineStr">
        <is>
          <t>No</t>
        </is>
      </c>
      <c r="I364" t="inlineStr">
        <is>
          <t>1</t>
        </is>
      </c>
      <c r="J364" t="inlineStr">
        <is>
          <t>No</t>
        </is>
      </c>
      <c r="K364" t="inlineStr">
        <is>
          <t>No</t>
        </is>
      </c>
      <c r="L364" t="inlineStr">
        <is>
          <t>0</t>
        </is>
      </c>
      <c r="M364" t="inlineStr">
        <is>
          <t>Moravia, Alberto, 1907-1990.</t>
        </is>
      </c>
      <c r="N364" t="inlineStr">
        <is>
          <t>New York, Farrar, Straus &amp; Giroux [1966, c1965]</t>
        </is>
      </c>
      <c r="O364" t="inlineStr">
        <is>
          <t>1966</t>
        </is>
      </c>
      <c r="P364" t="inlineStr">
        <is>
          <t>[1st American ed.]</t>
        </is>
      </c>
      <c r="Q364" t="inlineStr">
        <is>
          <t>eng</t>
        </is>
      </c>
      <c r="R364" t="inlineStr">
        <is>
          <t>nyu</t>
        </is>
      </c>
      <c r="T364" t="inlineStr">
        <is>
          <t xml:space="preserve">PQ </t>
        </is>
      </c>
      <c r="U364" t="n">
        <v>1</v>
      </c>
      <c r="V364" t="n">
        <v>1</v>
      </c>
      <c r="W364" t="inlineStr">
        <is>
          <t>2005-04-22</t>
        </is>
      </c>
      <c r="X364" t="inlineStr">
        <is>
          <t>2005-04-22</t>
        </is>
      </c>
      <c r="Y364" t="inlineStr">
        <is>
          <t>1998-01-27</t>
        </is>
      </c>
      <c r="Z364" t="inlineStr">
        <is>
          <t>1998-01-27</t>
        </is>
      </c>
      <c r="AA364" t="n">
        <v>873</v>
      </c>
      <c r="AB364" t="n">
        <v>832</v>
      </c>
      <c r="AC364" t="n">
        <v>938</v>
      </c>
      <c r="AD364" t="n">
        <v>7</v>
      </c>
      <c r="AE364" t="n">
        <v>7</v>
      </c>
      <c r="AF364" t="n">
        <v>34</v>
      </c>
      <c r="AG364" t="n">
        <v>40</v>
      </c>
      <c r="AH364" t="n">
        <v>14</v>
      </c>
      <c r="AI364" t="n">
        <v>15</v>
      </c>
      <c r="AJ364" t="n">
        <v>4</v>
      </c>
      <c r="AK364" t="n">
        <v>8</v>
      </c>
      <c r="AL364" t="n">
        <v>18</v>
      </c>
      <c r="AM364" t="n">
        <v>21</v>
      </c>
      <c r="AN364" t="n">
        <v>6</v>
      </c>
      <c r="AO364" t="n">
        <v>6</v>
      </c>
      <c r="AP364" t="n">
        <v>0</v>
      </c>
      <c r="AQ364" t="n">
        <v>0</v>
      </c>
      <c r="AR364" t="inlineStr">
        <is>
          <t>No</t>
        </is>
      </c>
      <c r="AS364" t="inlineStr">
        <is>
          <t>No</t>
        </is>
      </c>
      <c r="AU364">
        <f>HYPERLINK("https://creighton-primo.hosted.exlibrisgroup.com/primo-explore/search?tab=default_tab&amp;search_scope=EVERYTHING&amp;vid=01CRU&amp;lang=en_US&amp;offset=0&amp;query=any,contains,991002793359702656","Catalog Record")</f>
        <v/>
      </c>
      <c r="AV364">
        <f>HYPERLINK("http://www.worldcat.org/oclc/444327","WorldCat Record")</f>
        <v/>
      </c>
      <c r="AW364" t="inlineStr">
        <is>
          <t>4494879565:eng</t>
        </is>
      </c>
      <c r="AX364" t="inlineStr">
        <is>
          <t>444327</t>
        </is>
      </c>
      <c r="AY364" t="inlineStr">
        <is>
          <t>991002793359702656</t>
        </is>
      </c>
      <c r="AZ364" t="inlineStr">
        <is>
          <t>991002793359702656</t>
        </is>
      </c>
      <c r="BA364" t="inlineStr">
        <is>
          <t>2265168190002656</t>
        </is>
      </c>
      <c r="BB364" t="inlineStr">
        <is>
          <t>BOOK</t>
        </is>
      </c>
      <c r="BE364" t="inlineStr">
        <is>
          <t>32285003304994</t>
        </is>
      </c>
      <c r="BF364" t="inlineStr">
        <is>
          <t>893347934</t>
        </is>
      </c>
    </row>
    <row r="365">
      <c r="A365" t="inlineStr">
        <is>
          <t>No</t>
        </is>
      </c>
      <c r="B365" t="inlineStr">
        <is>
          <t>CURAL</t>
        </is>
      </c>
      <c r="C365" t="inlineStr">
        <is>
          <t>SHELVES</t>
        </is>
      </c>
      <c r="D365" t="inlineStr">
        <is>
          <t>PQ4835.I7 Z53455</t>
        </is>
      </c>
      <c r="E365" t="inlineStr">
        <is>
          <t>0                      PQ 4835000I  7                  Z  53455</t>
        </is>
      </c>
      <c r="F365" t="inlineStr">
        <is>
          <t>Two novels of Pirandello : an essay / Mario Aste.</t>
        </is>
      </c>
      <c r="H365" t="inlineStr">
        <is>
          <t>No</t>
        </is>
      </c>
      <c r="I365" t="inlineStr">
        <is>
          <t>1</t>
        </is>
      </c>
      <c r="J365" t="inlineStr">
        <is>
          <t>No</t>
        </is>
      </c>
      <c r="K365" t="inlineStr">
        <is>
          <t>No</t>
        </is>
      </c>
      <c r="L365" t="inlineStr">
        <is>
          <t>0</t>
        </is>
      </c>
      <c r="M365" t="inlineStr">
        <is>
          <t>Aste, Mario.</t>
        </is>
      </c>
      <c r="N365" t="inlineStr">
        <is>
          <t>Washington : University Press of America, c1979.</t>
        </is>
      </c>
      <c r="O365" t="inlineStr">
        <is>
          <t>1979</t>
        </is>
      </c>
      <c r="Q365" t="inlineStr">
        <is>
          <t>eng</t>
        </is>
      </c>
      <c r="R365" t="inlineStr">
        <is>
          <t>dcu</t>
        </is>
      </c>
      <c r="T365" t="inlineStr">
        <is>
          <t xml:space="preserve">PQ </t>
        </is>
      </c>
      <c r="U365" t="n">
        <v>3</v>
      </c>
      <c r="V365" t="n">
        <v>3</v>
      </c>
      <c r="W365" t="inlineStr">
        <is>
          <t>1994-08-16</t>
        </is>
      </c>
      <c r="X365" t="inlineStr">
        <is>
          <t>1994-08-16</t>
        </is>
      </c>
      <c r="Y365" t="inlineStr">
        <is>
          <t>1991-05-20</t>
        </is>
      </c>
      <c r="Z365" t="inlineStr">
        <is>
          <t>1991-05-20</t>
        </is>
      </c>
      <c r="AA365" t="n">
        <v>64</v>
      </c>
      <c r="AB365" t="n">
        <v>52</v>
      </c>
      <c r="AC365" t="n">
        <v>53</v>
      </c>
      <c r="AD365" t="n">
        <v>1</v>
      </c>
      <c r="AE365" t="n">
        <v>1</v>
      </c>
      <c r="AF365" t="n">
        <v>1</v>
      </c>
      <c r="AG365" t="n">
        <v>1</v>
      </c>
      <c r="AH365" t="n">
        <v>0</v>
      </c>
      <c r="AI365" t="n">
        <v>0</v>
      </c>
      <c r="AJ365" t="n">
        <v>1</v>
      </c>
      <c r="AK365" t="n">
        <v>1</v>
      </c>
      <c r="AL365" t="n">
        <v>0</v>
      </c>
      <c r="AM365" t="n">
        <v>0</v>
      </c>
      <c r="AN365" t="n">
        <v>0</v>
      </c>
      <c r="AO365" t="n">
        <v>0</v>
      </c>
      <c r="AP365" t="n">
        <v>0</v>
      </c>
      <c r="AQ365" t="n">
        <v>0</v>
      </c>
      <c r="AR365" t="inlineStr">
        <is>
          <t>No</t>
        </is>
      </c>
      <c r="AS365" t="inlineStr">
        <is>
          <t>No</t>
        </is>
      </c>
      <c r="AU365">
        <f>HYPERLINK("https://creighton-primo.hosted.exlibrisgroup.com/primo-explore/search?tab=default_tab&amp;search_scope=EVERYTHING&amp;vid=01CRU&amp;lang=en_US&amp;offset=0&amp;query=any,contains,991004986909702656","Catalog Record")</f>
        <v/>
      </c>
      <c r="AV365">
        <f>HYPERLINK("http://www.worldcat.org/oclc/6458072","WorldCat Record")</f>
        <v/>
      </c>
      <c r="AW365" t="inlineStr">
        <is>
          <t>367072378:eng</t>
        </is>
      </c>
      <c r="AX365" t="inlineStr">
        <is>
          <t>6458072</t>
        </is>
      </c>
      <c r="AY365" t="inlineStr">
        <is>
          <t>991004986909702656</t>
        </is>
      </c>
      <c r="AZ365" t="inlineStr">
        <is>
          <t>991004986909702656</t>
        </is>
      </c>
      <c r="BA365" t="inlineStr">
        <is>
          <t>2256128110002656</t>
        </is>
      </c>
      <c r="BB365" t="inlineStr">
        <is>
          <t>BOOK</t>
        </is>
      </c>
      <c r="BD365" t="inlineStr">
        <is>
          <t>9780819107350</t>
        </is>
      </c>
      <c r="BE365" t="inlineStr">
        <is>
          <t>32285000598150</t>
        </is>
      </c>
      <c r="BF365" t="inlineStr">
        <is>
          <t>893254294</t>
        </is>
      </c>
    </row>
    <row r="366">
      <c r="A366" t="inlineStr">
        <is>
          <t>No</t>
        </is>
      </c>
      <c r="B366" t="inlineStr">
        <is>
          <t>CURAL</t>
        </is>
      </c>
      <c r="C366" t="inlineStr">
        <is>
          <t>SHELVES</t>
        </is>
      </c>
      <c r="D366" t="inlineStr">
        <is>
          <t>PQ4835.I7 Z537 1966</t>
        </is>
      </c>
      <c r="E366" t="inlineStr">
        <is>
          <t>0                      PQ 4835000I  7                  Z  537         1966</t>
        </is>
      </c>
      <c r="F366" t="inlineStr">
        <is>
          <t>Pirandello.</t>
        </is>
      </c>
      <c r="H366" t="inlineStr">
        <is>
          <t>No</t>
        </is>
      </c>
      <c r="I366" t="inlineStr">
        <is>
          <t>1</t>
        </is>
      </c>
      <c r="J366" t="inlineStr">
        <is>
          <t>No</t>
        </is>
      </c>
      <c r="K366" t="inlineStr">
        <is>
          <t>No</t>
        </is>
      </c>
      <c r="L366" t="inlineStr">
        <is>
          <t>0</t>
        </is>
      </c>
      <c r="M366" t="inlineStr">
        <is>
          <t>Büdel, Oscar.</t>
        </is>
      </c>
      <c r="N366" t="inlineStr">
        <is>
          <t>New York : Hillary House Publishers, 1966.</t>
        </is>
      </c>
      <c r="O366" t="inlineStr">
        <is>
          <t>1966</t>
        </is>
      </c>
      <c r="Q366" t="inlineStr">
        <is>
          <t>eng</t>
        </is>
      </c>
      <c r="R366" t="inlineStr">
        <is>
          <t>nyu</t>
        </is>
      </c>
      <c r="S366" t="inlineStr">
        <is>
          <t>Studies in modern European literature &amp; thought</t>
        </is>
      </c>
      <c r="T366" t="inlineStr">
        <is>
          <t xml:space="preserve">PQ </t>
        </is>
      </c>
      <c r="U366" t="n">
        <v>11</v>
      </c>
      <c r="V366" t="n">
        <v>11</v>
      </c>
      <c r="W366" t="inlineStr">
        <is>
          <t>2005-03-28</t>
        </is>
      </c>
      <c r="X366" t="inlineStr">
        <is>
          <t>2005-03-28</t>
        </is>
      </c>
      <c r="Y366" t="inlineStr">
        <is>
          <t>1990-03-14</t>
        </is>
      </c>
      <c r="Z366" t="inlineStr">
        <is>
          <t>1990-03-14</t>
        </is>
      </c>
      <c r="AA366" t="n">
        <v>314</v>
      </c>
      <c r="AB366" t="n">
        <v>296</v>
      </c>
      <c r="AC366" t="n">
        <v>528</v>
      </c>
      <c r="AD366" t="n">
        <v>1</v>
      </c>
      <c r="AE366" t="n">
        <v>3</v>
      </c>
      <c r="AF366" t="n">
        <v>10</v>
      </c>
      <c r="AG366" t="n">
        <v>22</v>
      </c>
      <c r="AH366" t="n">
        <v>3</v>
      </c>
      <c r="AI366" t="n">
        <v>8</v>
      </c>
      <c r="AJ366" t="n">
        <v>2</v>
      </c>
      <c r="AK366" t="n">
        <v>4</v>
      </c>
      <c r="AL366" t="n">
        <v>7</v>
      </c>
      <c r="AM366" t="n">
        <v>14</v>
      </c>
      <c r="AN366" t="n">
        <v>0</v>
      </c>
      <c r="AO366" t="n">
        <v>2</v>
      </c>
      <c r="AP366" t="n">
        <v>0</v>
      </c>
      <c r="AQ366" t="n">
        <v>0</v>
      </c>
      <c r="AR366" t="inlineStr">
        <is>
          <t>No</t>
        </is>
      </c>
      <c r="AS366" t="inlineStr">
        <is>
          <t>Yes</t>
        </is>
      </c>
      <c r="AT366">
        <f>HYPERLINK("http://catalog.hathitrust.org/Record/001219787","HathiTrust Record")</f>
        <v/>
      </c>
      <c r="AU366">
        <f>HYPERLINK("https://creighton-primo.hosted.exlibrisgroup.com/primo-explore/search?tab=default_tab&amp;search_scope=EVERYTHING&amp;vid=01CRU&amp;lang=en_US&amp;offset=0&amp;query=any,contains,991003664539702656","Catalog Record")</f>
        <v/>
      </c>
      <c r="AV366">
        <f>HYPERLINK("http://www.worldcat.org/oclc/1277240","WorldCat Record")</f>
        <v/>
      </c>
      <c r="AW366" t="inlineStr">
        <is>
          <t>132198692:eng</t>
        </is>
      </c>
      <c r="AX366" t="inlineStr">
        <is>
          <t>1277240</t>
        </is>
      </c>
      <c r="AY366" t="inlineStr">
        <is>
          <t>991003664539702656</t>
        </is>
      </c>
      <c r="AZ366" t="inlineStr">
        <is>
          <t>991003664539702656</t>
        </is>
      </c>
      <c r="BA366" t="inlineStr">
        <is>
          <t>2261451120002656</t>
        </is>
      </c>
      <c r="BB366" t="inlineStr">
        <is>
          <t>BOOK</t>
        </is>
      </c>
      <c r="BD366" t="inlineStr">
        <is>
          <t>9780370002132</t>
        </is>
      </c>
      <c r="BE366" t="inlineStr">
        <is>
          <t>32285000083328</t>
        </is>
      </c>
      <c r="BF366" t="inlineStr">
        <is>
          <t>893810103</t>
        </is>
      </c>
    </row>
    <row r="367">
      <c r="A367" t="inlineStr">
        <is>
          <t>No</t>
        </is>
      </c>
      <c r="B367" t="inlineStr">
        <is>
          <t>CURAL</t>
        </is>
      </c>
      <c r="C367" t="inlineStr">
        <is>
          <t>SHELVES</t>
        </is>
      </c>
      <c r="D367" t="inlineStr">
        <is>
          <t>PQ4835.I7 Z5412 2004</t>
        </is>
      </c>
      <c r="E367" t="inlineStr">
        <is>
          <t>0                      PQ 4835000I  7                  Z  5412        2004</t>
        </is>
      </c>
      <c r="F367" t="inlineStr">
        <is>
          <t>I luoghi del romanzo : Pirandello, Tomasi di Lampedusa, Sciascia / Angelo Pitrone ; con un testo di Matteo Collura.</t>
        </is>
      </c>
      <c r="H367" t="inlineStr">
        <is>
          <t>No</t>
        </is>
      </c>
      <c r="I367" t="inlineStr">
        <is>
          <t>1</t>
        </is>
      </c>
      <c r="J367" t="inlineStr">
        <is>
          <t>No</t>
        </is>
      </c>
      <c r="K367" t="inlineStr">
        <is>
          <t>No</t>
        </is>
      </c>
      <c r="L367" t="inlineStr">
        <is>
          <t>0</t>
        </is>
      </c>
      <c r="M367" t="inlineStr">
        <is>
          <t>Pitrone, Angelo.</t>
        </is>
      </c>
      <c r="N367" t="inlineStr">
        <is>
          <t>Caltanissetta : S. Sciascia, 2004.</t>
        </is>
      </c>
      <c r="O367" t="inlineStr">
        <is>
          <t>2004</t>
        </is>
      </c>
      <c r="Q367" t="inlineStr">
        <is>
          <t>ita</t>
        </is>
      </c>
      <c r="R367" t="inlineStr">
        <is>
          <t xml:space="preserve">it </t>
        </is>
      </c>
      <c r="T367" t="inlineStr">
        <is>
          <t xml:space="preserve">PQ </t>
        </is>
      </c>
      <c r="U367" t="n">
        <v>2</v>
      </c>
      <c r="V367" t="n">
        <v>2</v>
      </c>
      <c r="W367" t="inlineStr">
        <is>
          <t>2005-07-11</t>
        </is>
      </c>
      <c r="X367" t="inlineStr">
        <is>
          <t>2005-07-11</t>
        </is>
      </c>
      <c r="Y367" t="inlineStr">
        <is>
          <t>2005-06-21</t>
        </is>
      </c>
      <c r="Z367" t="inlineStr">
        <is>
          <t>2005-06-21</t>
        </is>
      </c>
      <c r="AA367" t="n">
        <v>14</v>
      </c>
      <c r="AB367" t="n">
        <v>8</v>
      </c>
      <c r="AC367" t="n">
        <v>8</v>
      </c>
      <c r="AD367" t="n">
        <v>1</v>
      </c>
      <c r="AE367" t="n">
        <v>1</v>
      </c>
      <c r="AF367" t="n">
        <v>0</v>
      </c>
      <c r="AG367" t="n">
        <v>0</v>
      </c>
      <c r="AH367" t="n">
        <v>0</v>
      </c>
      <c r="AI367" t="n">
        <v>0</v>
      </c>
      <c r="AJ367" t="n">
        <v>0</v>
      </c>
      <c r="AK367" t="n">
        <v>0</v>
      </c>
      <c r="AL367" t="n">
        <v>0</v>
      </c>
      <c r="AM367" t="n">
        <v>0</v>
      </c>
      <c r="AN367" t="n">
        <v>0</v>
      </c>
      <c r="AO367" t="n">
        <v>0</v>
      </c>
      <c r="AP367" t="n">
        <v>0</v>
      </c>
      <c r="AQ367" t="n">
        <v>0</v>
      </c>
      <c r="AR367" t="inlineStr">
        <is>
          <t>No</t>
        </is>
      </c>
      <c r="AS367" t="inlineStr">
        <is>
          <t>No</t>
        </is>
      </c>
      <c r="AU367">
        <f>HYPERLINK("https://creighton-primo.hosted.exlibrisgroup.com/primo-explore/search?tab=default_tab&amp;search_scope=EVERYTHING&amp;vid=01CRU&amp;lang=en_US&amp;offset=0&amp;query=any,contains,991004507809702656","Catalog Record")</f>
        <v/>
      </c>
      <c r="AV367">
        <f>HYPERLINK("http://www.worldcat.org/oclc/57713506","WorldCat Record")</f>
        <v/>
      </c>
      <c r="AW367" t="inlineStr">
        <is>
          <t>891885055:ita</t>
        </is>
      </c>
      <c r="AX367" t="inlineStr">
        <is>
          <t>57713506</t>
        </is>
      </c>
      <c r="AY367" t="inlineStr">
        <is>
          <t>991004507809702656</t>
        </is>
      </c>
      <c r="AZ367" t="inlineStr">
        <is>
          <t>991004507809702656</t>
        </is>
      </c>
      <c r="BA367" t="inlineStr">
        <is>
          <t>2267835450002656</t>
        </is>
      </c>
      <c r="BB367" t="inlineStr">
        <is>
          <t>BOOK</t>
        </is>
      </c>
      <c r="BD367" t="inlineStr">
        <is>
          <t>9788882411954</t>
        </is>
      </c>
      <c r="BE367" t="inlineStr">
        <is>
          <t>32285005093058</t>
        </is>
      </c>
      <c r="BF367" t="inlineStr">
        <is>
          <t>893810548</t>
        </is>
      </c>
    </row>
    <row r="368">
      <c r="A368" t="inlineStr">
        <is>
          <t>No</t>
        </is>
      </c>
      <c r="B368" t="inlineStr">
        <is>
          <t>CURAL</t>
        </is>
      </c>
      <c r="C368" t="inlineStr">
        <is>
          <t>SHELVES</t>
        </is>
      </c>
      <c r="D368" t="inlineStr">
        <is>
          <t>PQ4835.I7 Z63</t>
        </is>
      </c>
      <c r="E368" t="inlineStr">
        <is>
          <t>0                      PQ 4835000I  7                  Z  63</t>
        </is>
      </c>
      <c r="F368" t="inlineStr">
        <is>
          <t>Luigi Pirandello.</t>
        </is>
      </c>
      <c r="H368" t="inlineStr">
        <is>
          <t>No</t>
        </is>
      </c>
      <c r="I368" t="inlineStr">
        <is>
          <t>1</t>
        </is>
      </c>
      <c r="J368" t="inlineStr">
        <is>
          <t>No</t>
        </is>
      </c>
      <c r="K368" t="inlineStr">
        <is>
          <t>No</t>
        </is>
      </c>
      <c r="L368" t="inlineStr">
        <is>
          <t>0</t>
        </is>
      </c>
      <c r="M368" t="inlineStr">
        <is>
          <t>Janner, Arminio.</t>
        </is>
      </c>
      <c r="N368" t="inlineStr">
        <is>
          <t>Firenze, La nuova Italia, [1948]</t>
        </is>
      </c>
      <c r="O368" t="inlineStr">
        <is>
          <t>1948</t>
        </is>
      </c>
      <c r="P368" t="inlineStr">
        <is>
          <t>[l. ed.]</t>
        </is>
      </c>
      <c r="Q368" t="inlineStr">
        <is>
          <t>ita</t>
        </is>
      </c>
      <c r="R368" t="inlineStr">
        <is>
          <t xml:space="preserve">xx </t>
        </is>
      </c>
      <c r="S368" t="inlineStr">
        <is>
          <t>Collana critica ; 44</t>
        </is>
      </c>
      <c r="T368" t="inlineStr">
        <is>
          <t xml:space="preserve">PQ </t>
        </is>
      </c>
      <c r="U368" t="n">
        <v>1</v>
      </c>
      <c r="V368" t="n">
        <v>1</v>
      </c>
      <c r="W368" t="inlineStr">
        <is>
          <t>2005-03-20</t>
        </is>
      </c>
      <c r="X368" t="inlineStr">
        <is>
          <t>2005-03-20</t>
        </is>
      </c>
      <c r="Y368" t="inlineStr">
        <is>
          <t>1997-06-25</t>
        </is>
      </c>
      <c r="Z368" t="inlineStr">
        <is>
          <t>1997-06-25</t>
        </is>
      </c>
      <c r="AA368" t="n">
        <v>108</v>
      </c>
      <c r="AB368" t="n">
        <v>73</v>
      </c>
      <c r="AC368" t="n">
        <v>107</v>
      </c>
      <c r="AD368" t="n">
        <v>1</v>
      </c>
      <c r="AE368" t="n">
        <v>1</v>
      </c>
      <c r="AF368" t="n">
        <v>5</v>
      </c>
      <c r="AG368" t="n">
        <v>5</v>
      </c>
      <c r="AH368" t="n">
        <v>1</v>
      </c>
      <c r="AI368" t="n">
        <v>1</v>
      </c>
      <c r="AJ368" t="n">
        <v>3</v>
      </c>
      <c r="AK368" t="n">
        <v>3</v>
      </c>
      <c r="AL368" t="n">
        <v>3</v>
      </c>
      <c r="AM368" t="n">
        <v>3</v>
      </c>
      <c r="AN368" t="n">
        <v>0</v>
      </c>
      <c r="AO368" t="n">
        <v>0</v>
      </c>
      <c r="AP368" t="n">
        <v>0</v>
      </c>
      <c r="AQ368" t="n">
        <v>0</v>
      </c>
      <c r="AR368" t="inlineStr">
        <is>
          <t>No</t>
        </is>
      </c>
      <c r="AS368" t="inlineStr">
        <is>
          <t>Yes</t>
        </is>
      </c>
      <c r="AT368">
        <f>HYPERLINK("http://catalog.hathitrust.org/Record/001226968","HathiTrust Record")</f>
        <v/>
      </c>
      <c r="AU368">
        <f>HYPERLINK("https://creighton-primo.hosted.exlibrisgroup.com/primo-explore/search?tab=default_tab&amp;search_scope=EVERYTHING&amp;vid=01CRU&amp;lang=en_US&amp;offset=0&amp;query=any,contains,991003664599702656","Catalog Record")</f>
        <v/>
      </c>
      <c r="AV368">
        <f>HYPERLINK("http://www.worldcat.org/oclc/1277263","WorldCat Record")</f>
        <v/>
      </c>
      <c r="AW368" t="inlineStr">
        <is>
          <t>2030438262:ita</t>
        </is>
      </c>
      <c r="AX368" t="inlineStr">
        <is>
          <t>1277263</t>
        </is>
      </c>
      <c r="AY368" t="inlineStr">
        <is>
          <t>991003664599702656</t>
        </is>
      </c>
      <c r="AZ368" t="inlineStr">
        <is>
          <t>991003664599702656</t>
        </is>
      </c>
      <c r="BA368" t="inlineStr">
        <is>
          <t>2261467630002656</t>
        </is>
      </c>
      <c r="BB368" t="inlineStr">
        <is>
          <t>BOOK</t>
        </is>
      </c>
      <c r="BE368" t="inlineStr">
        <is>
          <t>32285002515426</t>
        </is>
      </c>
      <c r="BF368" t="inlineStr">
        <is>
          <t>893258688</t>
        </is>
      </c>
    </row>
    <row r="369">
      <c r="A369" t="inlineStr">
        <is>
          <t>No</t>
        </is>
      </c>
      <c r="B369" t="inlineStr">
        <is>
          <t>CURAL</t>
        </is>
      </c>
      <c r="C369" t="inlineStr">
        <is>
          <t>SHELVES</t>
        </is>
      </c>
      <c r="D369" t="inlineStr">
        <is>
          <t>PQ4835.I7 Z754</t>
        </is>
      </c>
      <c r="E369" t="inlineStr">
        <is>
          <t>0                      PQ 4835000I  7                  Z  754</t>
        </is>
      </c>
      <c r="F369" t="inlineStr">
        <is>
          <t>The mirror of our anguish : a study of Luigi Pirandello's narrative writings / Douglas Radcliff-Umstead.</t>
        </is>
      </c>
      <c r="H369" t="inlineStr">
        <is>
          <t>No</t>
        </is>
      </c>
      <c r="I369" t="inlineStr">
        <is>
          <t>1</t>
        </is>
      </c>
      <c r="J369" t="inlineStr">
        <is>
          <t>No</t>
        </is>
      </c>
      <c r="K369" t="inlineStr">
        <is>
          <t>No</t>
        </is>
      </c>
      <c r="L369" t="inlineStr">
        <is>
          <t>0</t>
        </is>
      </c>
      <c r="M369" t="inlineStr">
        <is>
          <t>Radcliff-Umstead, Douglas.</t>
        </is>
      </c>
      <c r="N369" t="inlineStr">
        <is>
          <t>Rutherford [N.J.] : Fairleigh Dickinson University Press, c1978.</t>
        </is>
      </c>
      <c r="O369" t="inlineStr">
        <is>
          <t>1978</t>
        </is>
      </c>
      <c r="Q369" t="inlineStr">
        <is>
          <t>eng</t>
        </is>
      </c>
      <c r="R369" t="inlineStr">
        <is>
          <t>nju</t>
        </is>
      </c>
      <c r="T369" t="inlineStr">
        <is>
          <t xml:space="preserve">PQ </t>
        </is>
      </c>
      <c r="U369" t="n">
        <v>7</v>
      </c>
      <c r="V369" t="n">
        <v>7</v>
      </c>
      <c r="W369" t="inlineStr">
        <is>
          <t>2005-03-28</t>
        </is>
      </c>
      <c r="X369" t="inlineStr">
        <is>
          <t>2005-03-28</t>
        </is>
      </c>
      <c r="Y369" t="inlineStr">
        <is>
          <t>1991-05-20</t>
        </is>
      </c>
      <c r="Z369" t="inlineStr">
        <is>
          <t>1991-05-20</t>
        </is>
      </c>
      <c r="AA369" t="n">
        <v>374</v>
      </c>
      <c r="AB369" t="n">
        <v>297</v>
      </c>
      <c r="AC369" t="n">
        <v>310</v>
      </c>
      <c r="AD369" t="n">
        <v>3</v>
      </c>
      <c r="AE369" t="n">
        <v>3</v>
      </c>
      <c r="AF369" t="n">
        <v>10</v>
      </c>
      <c r="AG369" t="n">
        <v>10</v>
      </c>
      <c r="AH369" t="n">
        <v>1</v>
      </c>
      <c r="AI369" t="n">
        <v>1</v>
      </c>
      <c r="AJ369" t="n">
        <v>4</v>
      </c>
      <c r="AK369" t="n">
        <v>4</v>
      </c>
      <c r="AL369" t="n">
        <v>5</v>
      </c>
      <c r="AM369" t="n">
        <v>5</v>
      </c>
      <c r="AN369" t="n">
        <v>2</v>
      </c>
      <c r="AO369" t="n">
        <v>2</v>
      </c>
      <c r="AP369" t="n">
        <v>0</v>
      </c>
      <c r="AQ369" t="n">
        <v>0</v>
      </c>
      <c r="AR369" t="inlineStr">
        <is>
          <t>No</t>
        </is>
      </c>
      <c r="AS369" t="inlineStr">
        <is>
          <t>Yes</t>
        </is>
      </c>
      <c r="AT369">
        <f>HYPERLINK("http://catalog.hathitrust.org/Record/000252034","HathiTrust Record")</f>
        <v/>
      </c>
      <c r="AU369">
        <f>HYPERLINK("https://creighton-primo.hosted.exlibrisgroup.com/primo-explore/search?tab=default_tab&amp;search_scope=EVERYTHING&amp;vid=01CRU&amp;lang=en_US&amp;offset=0&amp;query=any,contains,991004321659702656","Catalog Record")</f>
        <v/>
      </c>
      <c r="AV369">
        <f>HYPERLINK("http://www.worldcat.org/oclc/3018383","WorldCat Record")</f>
        <v/>
      </c>
      <c r="AW369" t="inlineStr">
        <is>
          <t>503225:eng</t>
        </is>
      </c>
      <c r="AX369" t="inlineStr">
        <is>
          <t>3018383</t>
        </is>
      </c>
      <c r="AY369" t="inlineStr">
        <is>
          <t>991004321659702656</t>
        </is>
      </c>
      <c r="AZ369" t="inlineStr">
        <is>
          <t>991004321659702656</t>
        </is>
      </c>
      <c r="BA369" t="inlineStr">
        <is>
          <t>2272133040002656</t>
        </is>
      </c>
      <c r="BB369" t="inlineStr">
        <is>
          <t>BOOK</t>
        </is>
      </c>
      <c r="BD369" t="inlineStr">
        <is>
          <t>9780838619308</t>
        </is>
      </c>
      <c r="BE369" t="inlineStr">
        <is>
          <t>32285000598176</t>
        </is>
      </c>
      <c r="BF369" t="inlineStr">
        <is>
          <t>893519496</t>
        </is>
      </c>
    </row>
    <row r="370">
      <c r="A370" t="inlineStr">
        <is>
          <t>No</t>
        </is>
      </c>
      <c r="B370" t="inlineStr">
        <is>
          <t>CURAL</t>
        </is>
      </c>
      <c r="C370" t="inlineStr">
        <is>
          <t>SHELVES</t>
        </is>
      </c>
      <c r="D370" t="inlineStr">
        <is>
          <t>PQ4841 .C5</t>
        </is>
      </c>
      <c r="E370" t="inlineStr">
        <is>
          <t>0                      PQ 4841000C  5</t>
        </is>
      </c>
      <c r="F370" t="inlineStr">
        <is>
          <t>Confessions of Zeno [by] Italo Svevo. Translated by Beryl de Zoete.</t>
        </is>
      </c>
      <c r="H370" t="inlineStr">
        <is>
          <t>No</t>
        </is>
      </c>
      <c r="I370" t="inlineStr">
        <is>
          <t>1</t>
        </is>
      </c>
      <c r="J370" t="inlineStr">
        <is>
          <t>No</t>
        </is>
      </c>
      <c r="K370" t="inlineStr">
        <is>
          <t>No</t>
        </is>
      </c>
      <c r="L370" t="inlineStr">
        <is>
          <t>0</t>
        </is>
      </c>
      <c r="M370" t="inlineStr">
        <is>
          <t>Svevo, Italo, 1861-1928.</t>
        </is>
      </c>
      <c r="N370" t="inlineStr">
        <is>
          <t>Westport, Conn., Greenwood Press [1973]</t>
        </is>
      </c>
      <c r="O370" t="inlineStr">
        <is>
          <t>1973</t>
        </is>
      </c>
      <c r="Q370" t="inlineStr">
        <is>
          <t>eng</t>
        </is>
      </c>
      <c r="R370" t="inlineStr">
        <is>
          <t>ctu</t>
        </is>
      </c>
      <c r="T370" t="inlineStr">
        <is>
          <t xml:space="preserve">PQ </t>
        </is>
      </c>
      <c r="U370" t="n">
        <v>1</v>
      </c>
      <c r="V370" t="n">
        <v>1</v>
      </c>
      <c r="W370" t="inlineStr">
        <is>
          <t>1999-02-23</t>
        </is>
      </c>
      <c r="X370" t="inlineStr">
        <is>
          <t>1999-02-23</t>
        </is>
      </c>
      <c r="Y370" t="inlineStr">
        <is>
          <t>1997-06-25</t>
        </is>
      </c>
      <c r="Z370" t="inlineStr">
        <is>
          <t>1997-06-25</t>
        </is>
      </c>
      <c r="AA370" t="n">
        <v>103</v>
      </c>
      <c r="AB370" t="n">
        <v>92</v>
      </c>
      <c r="AC370" t="n">
        <v>1033</v>
      </c>
      <c r="AD370" t="n">
        <v>1</v>
      </c>
      <c r="AE370" t="n">
        <v>6</v>
      </c>
      <c r="AF370" t="n">
        <v>3</v>
      </c>
      <c r="AG370" t="n">
        <v>39</v>
      </c>
      <c r="AH370" t="n">
        <v>3</v>
      </c>
      <c r="AI370" t="n">
        <v>16</v>
      </c>
      <c r="AJ370" t="n">
        <v>0</v>
      </c>
      <c r="AK370" t="n">
        <v>8</v>
      </c>
      <c r="AL370" t="n">
        <v>1</v>
      </c>
      <c r="AM370" t="n">
        <v>20</v>
      </c>
      <c r="AN370" t="n">
        <v>0</v>
      </c>
      <c r="AO370" t="n">
        <v>5</v>
      </c>
      <c r="AP370" t="n">
        <v>0</v>
      </c>
      <c r="AQ370" t="n">
        <v>0</v>
      </c>
      <c r="AR370" t="inlineStr">
        <is>
          <t>No</t>
        </is>
      </c>
      <c r="AS370" t="inlineStr">
        <is>
          <t>Yes</t>
        </is>
      </c>
      <c r="AT370">
        <f>HYPERLINK("http://catalog.hathitrust.org/Record/102047553","HathiTrust Record")</f>
        <v/>
      </c>
      <c r="AU370">
        <f>HYPERLINK("https://creighton-primo.hosted.exlibrisgroup.com/primo-explore/search?tab=default_tab&amp;search_scope=EVERYTHING&amp;vid=01CRU&amp;lang=en_US&amp;offset=0&amp;query=any,contains,991003477829702656","Catalog Record")</f>
        <v/>
      </c>
      <c r="AV370">
        <f>HYPERLINK("http://www.worldcat.org/oclc/1023395","WorldCat Record")</f>
        <v/>
      </c>
      <c r="AW370" t="inlineStr">
        <is>
          <t>500222:eng</t>
        </is>
      </c>
      <c r="AX370" t="inlineStr">
        <is>
          <t>1023395</t>
        </is>
      </c>
      <c r="AY370" t="inlineStr">
        <is>
          <t>991003477829702656</t>
        </is>
      </c>
      <c r="AZ370" t="inlineStr">
        <is>
          <t>991003477829702656</t>
        </is>
      </c>
      <c r="BA370" t="inlineStr">
        <is>
          <t>2271991160002656</t>
        </is>
      </c>
      <c r="BB370" t="inlineStr">
        <is>
          <t>BOOK</t>
        </is>
      </c>
      <c r="BD370" t="inlineStr">
        <is>
          <t>9780837155371</t>
        </is>
      </c>
      <c r="BE370" t="inlineStr">
        <is>
          <t>32285002515442</t>
        </is>
      </c>
      <c r="BF370" t="inlineStr">
        <is>
          <t>893881196</t>
        </is>
      </c>
    </row>
    <row r="371">
      <c r="A371" t="inlineStr">
        <is>
          <t>No</t>
        </is>
      </c>
      <c r="B371" t="inlineStr">
        <is>
          <t>CURAL</t>
        </is>
      </c>
      <c r="C371" t="inlineStr">
        <is>
          <t>SHELVES</t>
        </is>
      </c>
      <c r="D371" t="inlineStr">
        <is>
          <t>PQ4841.C482 A24 1969b</t>
        </is>
      </c>
      <c r="E371" t="inlineStr">
        <is>
          <t>0                      PQ 4841000C  482                A  24          1969b</t>
        </is>
      </c>
      <c r="F371" t="inlineStr">
        <is>
          <t>Further confessions of Zeno / Italo Svevo [i.e. E. Schmitz] ; translated from the Italian by Ben Johnson and P. N. Furbank.</t>
        </is>
      </c>
      <c r="H371" t="inlineStr">
        <is>
          <t>No</t>
        </is>
      </c>
      <c r="I371" t="inlineStr">
        <is>
          <t>1</t>
        </is>
      </c>
      <c r="J371" t="inlineStr">
        <is>
          <t>No</t>
        </is>
      </c>
      <c r="K371" t="inlineStr">
        <is>
          <t>No</t>
        </is>
      </c>
      <c r="L371" t="inlineStr">
        <is>
          <t>0</t>
        </is>
      </c>
      <c r="M371" t="inlineStr">
        <is>
          <t>Svevo, Italo, 1861-1928.</t>
        </is>
      </c>
      <c r="N371" t="inlineStr">
        <is>
          <t>Berkeley : University of California Press 1969.</t>
        </is>
      </c>
      <c r="O371" t="inlineStr">
        <is>
          <t>1969</t>
        </is>
      </c>
      <c r="P371" t="inlineStr">
        <is>
          <t>1st paperback ed.</t>
        </is>
      </c>
      <c r="Q371" t="inlineStr">
        <is>
          <t>eng</t>
        </is>
      </c>
      <c r="R371" t="inlineStr">
        <is>
          <t>cau</t>
        </is>
      </c>
      <c r="T371" t="inlineStr">
        <is>
          <t xml:space="preserve">PQ </t>
        </is>
      </c>
      <c r="U371" t="n">
        <v>1</v>
      </c>
      <c r="V371" t="n">
        <v>1</v>
      </c>
      <c r="W371" t="inlineStr">
        <is>
          <t>1999-02-23</t>
        </is>
      </c>
      <c r="X371" t="inlineStr">
        <is>
          <t>1999-02-23</t>
        </is>
      </c>
      <c r="Y371" t="inlineStr">
        <is>
          <t>1991-05-20</t>
        </is>
      </c>
      <c r="Z371" t="inlineStr">
        <is>
          <t>1991-05-20</t>
        </is>
      </c>
      <c r="AA371" t="n">
        <v>631</v>
      </c>
      <c r="AB371" t="n">
        <v>592</v>
      </c>
      <c r="AC371" t="n">
        <v>628</v>
      </c>
      <c r="AD371" t="n">
        <v>4</v>
      </c>
      <c r="AE371" t="n">
        <v>5</v>
      </c>
      <c r="AF371" t="n">
        <v>29</v>
      </c>
      <c r="AG371" t="n">
        <v>31</v>
      </c>
      <c r="AH371" t="n">
        <v>9</v>
      </c>
      <c r="AI371" t="n">
        <v>10</v>
      </c>
      <c r="AJ371" t="n">
        <v>7</v>
      </c>
      <c r="AK371" t="n">
        <v>8</v>
      </c>
      <c r="AL371" t="n">
        <v>18</v>
      </c>
      <c r="AM371" t="n">
        <v>20</v>
      </c>
      <c r="AN371" t="n">
        <v>2</v>
      </c>
      <c r="AO371" t="n">
        <v>2</v>
      </c>
      <c r="AP371" t="n">
        <v>0</v>
      </c>
      <c r="AQ371" t="n">
        <v>0</v>
      </c>
      <c r="AR371" t="inlineStr">
        <is>
          <t>No</t>
        </is>
      </c>
      <c r="AS371" t="inlineStr">
        <is>
          <t>No</t>
        </is>
      </c>
      <c r="AU371">
        <f>HYPERLINK("https://creighton-primo.hosted.exlibrisgroup.com/primo-explore/search?tab=default_tab&amp;search_scope=EVERYTHING&amp;vid=01CRU&amp;lang=en_US&amp;offset=0&amp;query=any,contains,991004907529702656","Catalog Record")</f>
        <v/>
      </c>
      <c r="AV371">
        <f>HYPERLINK("http://www.worldcat.org/oclc/23577","WorldCat Record")</f>
        <v/>
      </c>
      <c r="AW371" t="inlineStr">
        <is>
          <t>3901260883:eng</t>
        </is>
      </c>
      <c r="AX371" t="inlineStr">
        <is>
          <t>23577</t>
        </is>
      </c>
      <c r="AY371" t="inlineStr">
        <is>
          <t>991004907529702656</t>
        </is>
      </c>
      <c r="AZ371" t="inlineStr">
        <is>
          <t>991004907529702656</t>
        </is>
      </c>
      <c r="BA371" t="inlineStr">
        <is>
          <t>2268623280002656</t>
        </is>
      </c>
      <c r="BB371" t="inlineStr">
        <is>
          <t>BOOK</t>
        </is>
      </c>
      <c r="BD371" t="inlineStr">
        <is>
          <t>9780520017535</t>
        </is>
      </c>
      <c r="BE371" t="inlineStr">
        <is>
          <t>32285000598200</t>
        </is>
      </c>
      <c r="BF371" t="inlineStr">
        <is>
          <t>893430597</t>
        </is>
      </c>
    </row>
    <row r="372">
      <c r="A372" t="inlineStr">
        <is>
          <t>No</t>
        </is>
      </c>
      <c r="B372" t="inlineStr">
        <is>
          <t>CURAL</t>
        </is>
      </c>
      <c r="C372" t="inlineStr">
        <is>
          <t>SHELVES</t>
        </is>
      </c>
      <c r="D372" t="inlineStr">
        <is>
          <t>PQ4863.A3894 P758 2005</t>
        </is>
      </c>
      <c r="E372" t="inlineStr">
        <is>
          <t>0                      PQ 4863000A  3894               P  758         2005</t>
        </is>
      </c>
      <c r="F372" t="inlineStr">
        <is>
          <t>Privo di titolo / Andrea Camilleri.</t>
        </is>
      </c>
      <c r="H372" t="inlineStr">
        <is>
          <t>No</t>
        </is>
      </c>
      <c r="I372" t="inlineStr">
        <is>
          <t>1</t>
        </is>
      </c>
      <c r="J372" t="inlineStr">
        <is>
          <t>No</t>
        </is>
      </c>
      <c r="K372" t="inlineStr">
        <is>
          <t>No</t>
        </is>
      </c>
      <c r="L372" t="inlineStr">
        <is>
          <t>0</t>
        </is>
      </c>
      <c r="M372" t="inlineStr">
        <is>
          <t>Camilleri, Andrea.</t>
        </is>
      </c>
      <c r="N372" t="inlineStr">
        <is>
          <t>Palermo : Sellerio, c2005.</t>
        </is>
      </c>
      <c r="O372" t="inlineStr">
        <is>
          <t>2005</t>
        </is>
      </c>
      <c r="Q372" t="inlineStr">
        <is>
          <t>ita</t>
        </is>
      </c>
      <c r="R372" t="inlineStr">
        <is>
          <t xml:space="preserve">it </t>
        </is>
      </c>
      <c r="S372" t="inlineStr">
        <is>
          <t>La memoria ; 642</t>
        </is>
      </c>
      <c r="T372" t="inlineStr">
        <is>
          <t xml:space="preserve">PQ </t>
        </is>
      </c>
      <c r="U372" t="n">
        <v>4</v>
      </c>
      <c r="V372" t="n">
        <v>4</v>
      </c>
      <c r="W372" t="inlineStr">
        <is>
          <t>2005-09-08</t>
        </is>
      </c>
      <c r="X372" t="inlineStr">
        <is>
          <t>2005-09-08</t>
        </is>
      </c>
      <c r="Y372" t="inlineStr">
        <is>
          <t>2005-06-08</t>
        </is>
      </c>
      <c r="Z372" t="inlineStr">
        <is>
          <t>2005-06-08</t>
        </is>
      </c>
      <c r="AA372" t="n">
        <v>74</v>
      </c>
      <c r="AB372" t="n">
        <v>50</v>
      </c>
      <c r="AC372" t="n">
        <v>60</v>
      </c>
      <c r="AD372" t="n">
        <v>1</v>
      </c>
      <c r="AE372" t="n">
        <v>1</v>
      </c>
      <c r="AF372" t="n">
        <v>1</v>
      </c>
      <c r="AG372" t="n">
        <v>1</v>
      </c>
      <c r="AH372" t="n">
        <v>0</v>
      </c>
      <c r="AI372" t="n">
        <v>0</v>
      </c>
      <c r="AJ372" t="n">
        <v>0</v>
      </c>
      <c r="AK372" t="n">
        <v>0</v>
      </c>
      <c r="AL372" t="n">
        <v>1</v>
      </c>
      <c r="AM372" t="n">
        <v>1</v>
      </c>
      <c r="AN372" t="n">
        <v>0</v>
      </c>
      <c r="AO372" t="n">
        <v>0</v>
      </c>
      <c r="AP372" t="n">
        <v>0</v>
      </c>
      <c r="AQ372" t="n">
        <v>0</v>
      </c>
      <c r="AR372" t="inlineStr">
        <is>
          <t>No</t>
        </is>
      </c>
      <c r="AS372" t="inlineStr">
        <is>
          <t>Yes</t>
        </is>
      </c>
      <c r="AT372">
        <f>HYPERLINK("http://catalog.hathitrust.org/Record/004983173","HathiTrust Record")</f>
        <v/>
      </c>
      <c r="AU372">
        <f>HYPERLINK("https://creighton-primo.hosted.exlibrisgroup.com/primo-explore/search?tab=default_tab&amp;search_scope=EVERYTHING&amp;vid=01CRU&amp;lang=en_US&amp;offset=0&amp;query=any,contains,991004560539702656","Catalog Record")</f>
        <v/>
      </c>
      <c r="AV372">
        <f>HYPERLINK("http://www.worldcat.org/oclc/59753074","WorldCat Record")</f>
        <v/>
      </c>
      <c r="AW372" t="inlineStr">
        <is>
          <t>20552728:ita</t>
        </is>
      </c>
      <c r="AX372" t="inlineStr">
        <is>
          <t>59753074</t>
        </is>
      </c>
      <c r="AY372" t="inlineStr">
        <is>
          <t>991004560539702656</t>
        </is>
      </c>
      <c r="AZ372" t="inlineStr">
        <is>
          <t>991004560539702656</t>
        </is>
      </c>
      <c r="BA372" t="inlineStr">
        <is>
          <t>2259928190002656</t>
        </is>
      </c>
      <c r="BB372" t="inlineStr">
        <is>
          <t>BOOK</t>
        </is>
      </c>
      <c r="BD372" t="inlineStr">
        <is>
          <t>9788838920301</t>
        </is>
      </c>
      <c r="BE372" t="inlineStr">
        <is>
          <t>32285005093108</t>
        </is>
      </c>
      <c r="BF372" t="inlineStr">
        <is>
          <t>893319393</t>
        </is>
      </c>
    </row>
    <row r="373">
      <c r="A373" t="inlineStr">
        <is>
          <t>No</t>
        </is>
      </c>
      <c r="B373" t="inlineStr">
        <is>
          <t>CURAL</t>
        </is>
      </c>
      <c r="C373" t="inlineStr">
        <is>
          <t>SHELVES</t>
        </is>
      </c>
      <c r="D373" t="inlineStr">
        <is>
          <t>PQ4866.O2 M6 1997</t>
        </is>
      </c>
      <c r="E373" t="inlineStr">
        <is>
          <t>0                      PQ 4866000O  2                  M  6           1997</t>
        </is>
      </c>
      <c r="F373" t="inlineStr">
        <is>
          <t>Morte accidentale di un anarchico / Dario Fo ; edited with introduction, notes and vocabulary by Jennifer Lorch.</t>
        </is>
      </c>
      <c r="H373" t="inlineStr">
        <is>
          <t>No</t>
        </is>
      </c>
      <c r="I373" t="inlineStr">
        <is>
          <t>1</t>
        </is>
      </c>
      <c r="J373" t="inlineStr">
        <is>
          <t>No</t>
        </is>
      </c>
      <c r="K373" t="inlineStr">
        <is>
          <t>No</t>
        </is>
      </c>
      <c r="L373" t="inlineStr">
        <is>
          <t>0</t>
        </is>
      </c>
      <c r="M373" t="inlineStr">
        <is>
          <t>Fo, Dario.</t>
        </is>
      </c>
      <c r="N373" t="inlineStr">
        <is>
          <t>Manchester ; New York : Manchester University Press ; Distributed exclusively in the USA by St. Martin's Press, 1997.</t>
        </is>
      </c>
      <c r="O373" t="inlineStr">
        <is>
          <t>1997</t>
        </is>
      </c>
      <c r="Q373" t="inlineStr">
        <is>
          <t>ita</t>
        </is>
      </c>
      <c r="R373" t="inlineStr">
        <is>
          <t>enk</t>
        </is>
      </c>
      <c r="S373" t="inlineStr">
        <is>
          <t>Italian texts</t>
        </is>
      </c>
      <c r="T373" t="inlineStr">
        <is>
          <t xml:space="preserve">PQ </t>
        </is>
      </c>
      <c r="U373" t="n">
        <v>2</v>
      </c>
      <c r="V373" t="n">
        <v>2</v>
      </c>
      <c r="W373" t="inlineStr">
        <is>
          <t>2003-10-24</t>
        </is>
      </c>
      <c r="X373" t="inlineStr">
        <is>
          <t>2003-10-24</t>
        </is>
      </c>
      <c r="Y373" t="inlineStr">
        <is>
          <t>1998-06-23</t>
        </is>
      </c>
      <c r="Z373" t="inlineStr">
        <is>
          <t>1998-06-23</t>
        </is>
      </c>
      <c r="AA373" t="n">
        <v>146</v>
      </c>
      <c r="AB373" t="n">
        <v>107</v>
      </c>
      <c r="AC373" t="n">
        <v>164</v>
      </c>
      <c r="AD373" t="n">
        <v>2</v>
      </c>
      <c r="AE373" t="n">
        <v>2</v>
      </c>
      <c r="AF373" t="n">
        <v>10</v>
      </c>
      <c r="AG373" t="n">
        <v>11</v>
      </c>
      <c r="AH373" t="n">
        <v>3</v>
      </c>
      <c r="AI373" t="n">
        <v>3</v>
      </c>
      <c r="AJ373" t="n">
        <v>6</v>
      </c>
      <c r="AK373" t="n">
        <v>6</v>
      </c>
      <c r="AL373" t="n">
        <v>5</v>
      </c>
      <c r="AM373" t="n">
        <v>6</v>
      </c>
      <c r="AN373" t="n">
        <v>1</v>
      </c>
      <c r="AO373" t="n">
        <v>1</v>
      </c>
      <c r="AP373" t="n">
        <v>0</v>
      </c>
      <c r="AQ373" t="n">
        <v>0</v>
      </c>
      <c r="AR373" t="inlineStr">
        <is>
          <t>No</t>
        </is>
      </c>
      <c r="AS373" t="inlineStr">
        <is>
          <t>No</t>
        </is>
      </c>
      <c r="AU373">
        <f>HYPERLINK("https://creighton-primo.hosted.exlibrisgroup.com/primo-explore/search?tab=default_tab&amp;search_scope=EVERYTHING&amp;vid=01CRU&amp;lang=en_US&amp;offset=0&amp;query=any,contains,991002795349702656","Catalog Record")</f>
        <v/>
      </c>
      <c r="AV373">
        <f>HYPERLINK("http://www.worldcat.org/oclc/36713262","WorldCat Record")</f>
        <v/>
      </c>
      <c r="AW373" t="inlineStr">
        <is>
          <t>581603:ita</t>
        </is>
      </c>
      <c r="AX373" t="inlineStr">
        <is>
          <t>36713262</t>
        </is>
      </c>
      <c r="AY373" t="inlineStr">
        <is>
          <t>991002795349702656</t>
        </is>
      </c>
      <c r="AZ373" t="inlineStr">
        <is>
          <t>991002795349702656</t>
        </is>
      </c>
      <c r="BA373" t="inlineStr">
        <is>
          <t>2262446530002656</t>
        </is>
      </c>
      <c r="BB373" t="inlineStr">
        <is>
          <t>BOOK</t>
        </is>
      </c>
      <c r="BD373" t="inlineStr">
        <is>
          <t>9780719038488</t>
        </is>
      </c>
      <c r="BE373" t="inlineStr">
        <is>
          <t>32285003423273</t>
        </is>
      </c>
      <c r="BF373" t="inlineStr">
        <is>
          <t>893792924</t>
        </is>
      </c>
    </row>
    <row r="374">
      <c r="A374" t="inlineStr">
        <is>
          <t>No</t>
        </is>
      </c>
      <c r="B374" t="inlineStr">
        <is>
          <t>CURAL</t>
        </is>
      </c>
      <c r="C374" t="inlineStr">
        <is>
          <t>SHELVES</t>
        </is>
      </c>
      <c r="D374" t="inlineStr">
        <is>
          <t>PQ4867.A7255 F75 1999</t>
        </is>
      </c>
      <c r="E374" t="inlineStr">
        <is>
          <t>0                      PQ 4867000A  7255               F  75          1999</t>
        </is>
      </c>
      <c r="F374" t="inlineStr">
        <is>
          <t>Friulani brava gente / Alberto Garlini.</t>
        </is>
      </c>
      <c r="H374" t="inlineStr">
        <is>
          <t>No</t>
        </is>
      </c>
      <c r="I374" t="inlineStr">
        <is>
          <t>1</t>
        </is>
      </c>
      <c r="J374" t="inlineStr">
        <is>
          <t>No</t>
        </is>
      </c>
      <c r="K374" t="inlineStr">
        <is>
          <t>No</t>
        </is>
      </c>
      <c r="L374" t="inlineStr">
        <is>
          <t>0</t>
        </is>
      </c>
      <c r="M374" t="inlineStr">
        <is>
          <t>Garlini, Alberto, 1969-</t>
        </is>
      </c>
      <c r="N374" t="inlineStr">
        <is>
          <t>Pordenone : Biblioteca dell'immagine, c1999.</t>
        </is>
      </c>
      <c r="O374" t="inlineStr">
        <is>
          <t>1999</t>
        </is>
      </c>
      <c r="Q374" t="inlineStr">
        <is>
          <t>ita</t>
        </is>
      </c>
      <c r="R374" t="inlineStr">
        <is>
          <t xml:space="preserve">it </t>
        </is>
      </c>
      <c r="S374" t="inlineStr">
        <is>
          <t>Chaos ; 8</t>
        </is>
      </c>
      <c r="T374" t="inlineStr">
        <is>
          <t xml:space="preserve">PQ </t>
        </is>
      </c>
      <c r="U374" t="n">
        <v>4</v>
      </c>
      <c r="V374" t="n">
        <v>4</v>
      </c>
      <c r="W374" t="inlineStr">
        <is>
          <t>2005-09-08</t>
        </is>
      </c>
      <c r="X374" t="inlineStr">
        <is>
          <t>2005-09-08</t>
        </is>
      </c>
      <c r="Y374" t="inlineStr">
        <is>
          <t>2005-05-04</t>
        </is>
      </c>
      <c r="Z374" t="inlineStr">
        <is>
          <t>2005-05-04</t>
        </is>
      </c>
      <c r="AA374" t="n">
        <v>7</v>
      </c>
      <c r="AB374" t="n">
        <v>5</v>
      </c>
      <c r="AC374" t="n">
        <v>7</v>
      </c>
      <c r="AD374" t="n">
        <v>1</v>
      </c>
      <c r="AE374" t="n">
        <v>1</v>
      </c>
      <c r="AF374" t="n">
        <v>0</v>
      </c>
      <c r="AG374" t="n">
        <v>0</v>
      </c>
      <c r="AH374" t="n">
        <v>0</v>
      </c>
      <c r="AI374" t="n">
        <v>0</v>
      </c>
      <c r="AJ374" t="n">
        <v>0</v>
      </c>
      <c r="AK374" t="n">
        <v>0</v>
      </c>
      <c r="AL374" t="n">
        <v>0</v>
      </c>
      <c r="AM374" t="n">
        <v>0</v>
      </c>
      <c r="AN374" t="n">
        <v>0</v>
      </c>
      <c r="AO374" t="n">
        <v>0</v>
      </c>
      <c r="AP374" t="n">
        <v>0</v>
      </c>
      <c r="AQ374" t="n">
        <v>0</v>
      </c>
      <c r="AR374" t="inlineStr">
        <is>
          <t>No</t>
        </is>
      </c>
      <c r="AS374" t="inlineStr">
        <is>
          <t>No</t>
        </is>
      </c>
      <c r="AU374">
        <f>HYPERLINK("https://creighton-primo.hosted.exlibrisgroup.com/primo-explore/search?tab=default_tab&amp;search_scope=EVERYTHING&amp;vid=01CRU&amp;lang=en_US&amp;offset=0&amp;query=any,contains,991004507699702656","Catalog Record")</f>
        <v/>
      </c>
      <c r="AV374">
        <f>HYPERLINK("http://www.worldcat.org/oclc/45435035","WorldCat Record")</f>
        <v/>
      </c>
      <c r="AW374" t="inlineStr">
        <is>
          <t>34794520:ita</t>
        </is>
      </c>
      <c r="AX374" t="inlineStr">
        <is>
          <t>45435035</t>
        </is>
      </c>
      <c r="AY374" t="inlineStr">
        <is>
          <t>991004507699702656</t>
        </is>
      </c>
      <c r="AZ374" t="inlineStr">
        <is>
          <t>991004507699702656</t>
        </is>
      </c>
      <c r="BA374" t="inlineStr">
        <is>
          <t>2258962560002656</t>
        </is>
      </c>
      <c r="BB374" t="inlineStr">
        <is>
          <t>BOOK</t>
        </is>
      </c>
      <c r="BE374" t="inlineStr">
        <is>
          <t>32285005035356</t>
        </is>
      </c>
      <c r="BF374" t="inlineStr">
        <is>
          <t>893430147</t>
        </is>
      </c>
    </row>
    <row r="375">
      <c r="A375" t="inlineStr">
        <is>
          <t>No</t>
        </is>
      </c>
      <c r="B375" t="inlineStr">
        <is>
          <t>CURAL</t>
        </is>
      </c>
      <c r="C375" t="inlineStr">
        <is>
          <t>SHELVES</t>
        </is>
      </c>
      <c r="D375" t="inlineStr">
        <is>
          <t>PQ4873.A9532 N66 2003</t>
        </is>
      </c>
      <c r="E375" t="inlineStr">
        <is>
          <t>0                      PQ 4873000A  9532               N  66          2003</t>
        </is>
      </c>
      <c r="F375" t="inlineStr">
        <is>
          <t>Non ti muovere : romanzo / Margaret Mazzantini.</t>
        </is>
      </c>
      <c r="H375" t="inlineStr">
        <is>
          <t>No</t>
        </is>
      </c>
      <c r="I375" t="inlineStr">
        <is>
          <t>1</t>
        </is>
      </c>
      <c r="J375" t="inlineStr">
        <is>
          <t>No</t>
        </is>
      </c>
      <c r="K375" t="inlineStr">
        <is>
          <t>No</t>
        </is>
      </c>
      <c r="L375" t="inlineStr">
        <is>
          <t>0</t>
        </is>
      </c>
      <c r="M375" t="inlineStr">
        <is>
          <t>Mazzantini, Margaret.</t>
        </is>
      </c>
      <c r="N375" t="inlineStr">
        <is>
          <t>Milano : Mondadori, 2003.</t>
        </is>
      </c>
      <c r="O375" t="inlineStr">
        <is>
          <t>2003</t>
        </is>
      </c>
      <c r="P375" t="inlineStr">
        <is>
          <t>26 ed.</t>
        </is>
      </c>
      <c r="Q375" t="inlineStr">
        <is>
          <t>ita</t>
        </is>
      </c>
      <c r="R375" t="inlineStr">
        <is>
          <t xml:space="preserve">it </t>
        </is>
      </c>
      <c r="S375" t="inlineStr">
        <is>
          <t>Scrittori italiani e stranieri</t>
        </is>
      </c>
      <c r="T375" t="inlineStr">
        <is>
          <t xml:space="preserve">PQ </t>
        </is>
      </c>
      <c r="U375" t="n">
        <v>3</v>
      </c>
      <c r="V375" t="n">
        <v>3</v>
      </c>
      <c r="W375" t="inlineStr">
        <is>
          <t>2005-09-08</t>
        </is>
      </c>
      <c r="X375" t="inlineStr">
        <is>
          <t>2005-09-08</t>
        </is>
      </c>
      <c r="Y375" t="inlineStr">
        <is>
          <t>2005-06-02</t>
        </is>
      </c>
      <c r="Z375" t="inlineStr">
        <is>
          <t>2005-06-02</t>
        </is>
      </c>
      <c r="AA375" t="n">
        <v>6</v>
      </c>
      <c r="AB375" t="n">
        <v>3</v>
      </c>
      <c r="AC375" t="n">
        <v>105</v>
      </c>
      <c r="AD375" t="n">
        <v>1</v>
      </c>
      <c r="AE375" t="n">
        <v>1</v>
      </c>
      <c r="AF375" t="n">
        <v>0</v>
      </c>
      <c r="AG375" t="n">
        <v>5</v>
      </c>
      <c r="AH375" t="n">
        <v>0</v>
      </c>
      <c r="AI375" t="n">
        <v>2</v>
      </c>
      <c r="AJ375" t="n">
        <v>0</v>
      </c>
      <c r="AK375" t="n">
        <v>3</v>
      </c>
      <c r="AL375" t="n">
        <v>0</v>
      </c>
      <c r="AM375" t="n">
        <v>2</v>
      </c>
      <c r="AN375" t="n">
        <v>0</v>
      </c>
      <c r="AO375" t="n">
        <v>0</v>
      </c>
      <c r="AP375" t="n">
        <v>0</v>
      </c>
      <c r="AQ375" t="n">
        <v>0</v>
      </c>
      <c r="AR375" t="inlineStr">
        <is>
          <t>No</t>
        </is>
      </c>
      <c r="AS375" t="inlineStr">
        <is>
          <t>No</t>
        </is>
      </c>
      <c r="AU375">
        <f>HYPERLINK("https://creighton-primo.hosted.exlibrisgroup.com/primo-explore/search?tab=default_tab&amp;search_scope=EVERYTHING&amp;vid=01CRU&amp;lang=en_US&amp;offset=0&amp;query=any,contains,991004507759702656","Catalog Record")</f>
        <v/>
      </c>
      <c r="AV375">
        <f>HYPERLINK("http://www.worldcat.org/oclc/52972398","WorldCat Record")</f>
        <v/>
      </c>
      <c r="AW375" t="inlineStr">
        <is>
          <t>689346:ita</t>
        </is>
      </c>
      <c r="AX375" t="inlineStr">
        <is>
          <t>52972398</t>
        </is>
      </c>
      <c r="AY375" t="inlineStr">
        <is>
          <t>991004507759702656</t>
        </is>
      </c>
      <c r="AZ375" t="inlineStr">
        <is>
          <t>991004507759702656</t>
        </is>
      </c>
      <c r="BA375" t="inlineStr">
        <is>
          <t>2272518100002656</t>
        </is>
      </c>
      <c r="BB375" t="inlineStr">
        <is>
          <t>BOOK</t>
        </is>
      </c>
      <c r="BD375" t="inlineStr">
        <is>
          <t>9788804489474</t>
        </is>
      </c>
      <c r="BE375" t="inlineStr">
        <is>
          <t>32285005092241</t>
        </is>
      </c>
      <c r="BF375" t="inlineStr">
        <is>
          <t>893901306</t>
        </is>
      </c>
    </row>
    <row r="376">
      <c r="A376" t="inlineStr">
        <is>
          <t>No</t>
        </is>
      </c>
      <c r="B376" t="inlineStr">
        <is>
          <t>CURAL</t>
        </is>
      </c>
      <c r="C376" t="inlineStr">
        <is>
          <t>SHELVES</t>
        </is>
      </c>
      <c r="D376" t="inlineStr">
        <is>
          <t>PQ4873.A98 V57913 2005</t>
        </is>
      </c>
      <c r="E376" t="inlineStr">
        <is>
          <t>0                      PQ 4873000A  98                 V  57913       2005</t>
        </is>
      </c>
      <c r="F376" t="inlineStr">
        <is>
          <t>Vita : a novel / Melania G. Mazzucco ; translated from the Italian by Virginia Jewiss.</t>
        </is>
      </c>
      <c r="H376" t="inlineStr">
        <is>
          <t>No</t>
        </is>
      </c>
      <c r="I376" t="inlineStr">
        <is>
          <t>1</t>
        </is>
      </c>
      <c r="J376" t="inlineStr">
        <is>
          <t>No</t>
        </is>
      </c>
      <c r="K376" t="inlineStr">
        <is>
          <t>No</t>
        </is>
      </c>
      <c r="L376" t="inlineStr">
        <is>
          <t>0</t>
        </is>
      </c>
      <c r="M376" t="inlineStr">
        <is>
          <t>Mazzucco, Melania G., 1966-</t>
        </is>
      </c>
      <c r="N376" t="inlineStr">
        <is>
          <t>New York : Farrar, Straus and Giroux, 2005.</t>
        </is>
      </c>
      <c r="O376" t="inlineStr">
        <is>
          <t>2005</t>
        </is>
      </c>
      <c r="P376" t="inlineStr">
        <is>
          <t>1st American ed.</t>
        </is>
      </c>
      <c r="Q376" t="inlineStr">
        <is>
          <t>eng</t>
        </is>
      </c>
      <c r="R376" t="inlineStr">
        <is>
          <t>nyu</t>
        </is>
      </c>
      <c r="T376" t="inlineStr">
        <is>
          <t xml:space="preserve">PQ </t>
        </is>
      </c>
      <c r="U376" t="n">
        <v>1</v>
      </c>
      <c r="V376" t="n">
        <v>1</v>
      </c>
      <c r="W376" t="inlineStr">
        <is>
          <t>2005-09-13</t>
        </is>
      </c>
      <c r="X376" t="inlineStr">
        <is>
          <t>2005-09-13</t>
        </is>
      </c>
      <c r="Y376" t="inlineStr">
        <is>
          <t>2005-09-13</t>
        </is>
      </c>
      <c r="Z376" t="inlineStr">
        <is>
          <t>2005-09-13</t>
        </is>
      </c>
      <c r="AA376" t="n">
        <v>634</v>
      </c>
      <c r="AB376" t="n">
        <v>611</v>
      </c>
      <c r="AC376" t="n">
        <v>749</v>
      </c>
      <c r="AD376" t="n">
        <v>4</v>
      </c>
      <c r="AE376" t="n">
        <v>5</v>
      </c>
      <c r="AF376" t="n">
        <v>13</v>
      </c>
      <c r="AG376" t="n">
        <v>13</v>
      </c>
      <c r="AH376" t="n">
        <v>4</v>
      </c>
      <c r="AI376" t="n">
        <v>4</v>
      </c>
      <c r="AJ376" t="n">
        <v>5</v>
      </c>
      <c r="AK376" t="n">
        <v>5</v>
      </c>
      <c r="AL376" t="n">
        <v>6</v>
      </c>
      <c r="AM376" t="n">
        <v>6</v>
      </c>
      <c r="AN376" t="n">
        <v>1</v>
      </c>
      <c r="AO376" t="n">
        <v>1</v>
      </c>
      <c r="AP376" t="n">
        <v>0</v>
      </c>
      <c r="AQ376" t="n">
        <v>0</v>
      </c>
      <c r="AR376" t="inlineStr">
        <is>
          <t>No</t>
        </is>
      </c>
      <c r="AS376" t="inlineStr">
        <is>
          <t>No</t>
        </is>
      </c>
      <c r="AU376">
        <f>HYPERLINK("https://creighton-primo.hosted.exlibrisgroup.com/primo-explore/search?tab=default_tab&amp;search_scope=EVERYTHING&amp;vid=01CRU&amp;lang=en_US&amp;offset=0&amp;query=any,contains,991004635979702656","Catalog Record")</f>
        <v/>
      </c>
      <c r="AV376">
        <f>HYPERLINK("http://www.worldcat.org/oclc/57530128","WorldCat Record")</f>
        <v/>
      </c>
      <c r="AW376" t="inlineStr">
        <is>
          <t>878679:eng</t>
        </is>
      </c>
      <c r="AX376" t="inlineStr">
        <is>
          <t>57530128</t>
        </is>
      </c>
      <c r="AY376" t="inlineStr">
        <is>
          <t>991004635979702656</t>
        </is>
      </c>
      <c r="AZ376" t="inlineStr">
        <is>
          <t>991004635979702656</t>
        </is>
      </c>
      <c r="BA376" t="inlineStr">
        <is>
          <t>2258944110002656</t>
        </is>
      </c>
      <c r="BB376" t="inlineStr">
        <is>
          <t>BOOK</t>
        </is>
      </c>
      <c r="BD376" t="inlineStr">
        <is>
          <t>9780374284954</t>
        </is>
      </c>
      <c r="BE376" t="inlineStr">
        <is>
          <t>32285005083414</t>
        </is>
      </c>
      <c r="BF376" t="inlineStr">
        <is>
          <t>893612579</t>
        </is>
      </c>
    </row>
    <row r="377">
      <c r="A377" t="inlineStr">
        <is>
          <t>No</t>
        </is>
      </c>
      <c r="B377" t="inlineStr">
        <is>
          <t>CURAL</t>
        </is>
      </c>
      <c r="C377" t="inlineStr">
        <is>
          <t>SHELVES</t>
        </is>
      </c>
      <c r="D377" t="inlineStr">
        <is>
          <t>PQ4873.I399 V63 2001</t>
        </is>
      </c>
      <c r="E377" t="inlineStr">
        <is>
          <t>0                      PQ 4873000I  399                V  63          2001</t>
        </is>
      </c>
      <c r="F377" t="inlineStr">
        <is>
          <t>Voci del silenzio : racconti dal salotto delle ombre / Giorgio Milesi.</t>
        </is>
      </c>
      <c r="H377" t="inlineStr">
        <is>
          <t>No</t>
        </is>
      </c>
      <c r="I377" t="inlineStr">
        <is>
          <t>1</t>
        </is>
      </c>
      <c r="J377" t="inlineStr">
        <is>
          <t>No</t>
        </is>
      </c>
      <c r="K377" t="inlineStr">
        <is>
          <t>No</t>
        </is>
      </c>
      <c r="L377" t="inlineStr">
        <is>
          <t>0</t>
        </is>
      </c>
      <c r="M377" t="inlineStr">
        <is>
          <t>Milesi, Giorgio.</t>
        </is>
      </c>
      <c r="N377" t="inlineStr">
        <is>
          <t>Castel Maggiore (Bologna) : Book, 2001.</t>
        </is>
      </c>
      <c r="O377" t="inlineStr">
        <is>
          <t>2001</t>
        </is>
      </c>
      <c r="Q377" t="inlineStr">
        <is>
          <t>ita</t>
        </is>
      </c>
      <c r="R377" t="inlineStr">
        <is>
          <t xml:space="preserve">it </t>
        </is>
      </c>
      <c r="S377" t="inlineStr">
        <is>
          <t>Pandora ; 29</t>
        </is>
      </c>
      <c r="T377" t="inlineStr">
        <is>
          <t xml:space="preserve">PQ </t>
        </is>
      </c>
      <c r="U377" t="n">
        <v>4</v>
      </c>
      <c r="V377" t="n">
        <v>4</v>
      </c>
      <c r="W377" t="inlineStr">
        <is>
          <t>2005-01-10</t>
        </is>
      </c>
      <c r="X377" t="inlineStr">
        <is>
          <t>2005-01-10</t>
        </is>
      </c>
      <c r="Y377" t="inlineStr">
        <is>
          <t>2004-06-10</t>
        </is>
      </c>
      <c r="Z377" t="inlineStr">
        <is>
          <t>2004-06-10</t>
        </is>
      </c>
      <c r="AA377" t="n">
        <v>7</v>
      </c>
      <c r="AB377" t="n">
        <v>3</v>
      </c>
      <c r="AC377" t="n">
        <v>3</v>
      </c>
      <c r="AD377" t="n">
        <v>1</v>
      </c>
      <c r="AE377" t="n">
        <v>1</v>
      </c>
      <c r="AF377" t="n">
        <v>0</v>
      </c>
      <c r="AG377" t="n">
        <v>0</v>
      </c>
      <c r="AH377" t="n">
        <v>0</v>
      </c>
      <c r="AI377" t="n">
        <v>0</v>
      </c>
      <c r="AJ377" t="n">
        <v>0</v>
      </c>
      <c r="AK377" t="n">
        <v>0</v>
      </c>
      <c r="AL377" t="n">
        <v>0</v>
      </c>
      <c r="AM377" t="n">
        <v>0</v>
      </c>
      <c r="AN377" t="n">
        <v>0</v>
      </c>
      <c r="AO377" t="n">
        <v>0</v>
      </c>
      <c r="AP377" t="n">
        <v>0</v>
      </c>
      <c r="AQ377" t="n">
        <v>0</v>
      </c>
      <c r="AR377" t="inlineStr">
        <is>
          <t>No</t>
        </is>
      </c>
      <c r="AS377" t="inlineStr">
        <is>
          <t>No</t>
        </is>
      </c>
      <c r="AU377">
        <f>HYPERLINK("https://creighton-primo.hosted.exlibrisgroup.com/primo-explore/search?tab=default_tab&amp;search_scope=EVERYTHING&amp;vid=01CRU&amp;lang=en_US&amp;offset=0&amp;query=any,contains,991004276849702656","Catalog Record")</f>
        <v/>
      </c>
      <c r="AV377">
        <f>HYPERLINK("http://www.worldcat.org/oclc/52442433","WorldCat Record")</f>
        <v/>
      </c>
      <c r="AW377" t="inlineStr">
        <is>
          <t>3756780100:ita</t>
        </is>
      </c>
      <c r="AX377" t="inlineStr">
        <is>
          <t>52442433</t>
        </is>
      </c>
      <c r="AY377" t="inlineStr">
        <is>
          <t>991004276849702656</t>
        </is>
      </c>
      <c r="AZ377" t="inlineStr">
        <is>
          <t>991004276849702656</t>
        </is>
      </c>
      <c r="BA377" t="inlineStr">
        <is>
          <t>2270888700002656</t>
        </is>
      </c>
      <c r="BB377" t="inlineStr">
        <is>
          <t>BOOK</t>
        </is>
      </c>
      <c r="BD377" t="inlineStr">
        <is>
          <t>9788872323922</t>
        </is>
      </c>
      <c r="BE377" t="inlineStr">
        <is>
          <t>32285004909395</t>
        </is>
      </c>
      <c r="BF377" t="inlineStr">
        <is>
          <t>893325166</t>
        </is>
      </c>
    </row>
    <row r="378">
      <c r="A378" t="inlineStr">
        <is>
          <t>No</t>
        </is>
      </c>
      <c r="B378" t="inlineStr">
        <is>
          <t>CURAL</t>
        </is>
      </c>
      <c r="C378" t="inlineStr">
        <is>
          <t>SHELVES</t>
        </is>
      </c>
      <c r="D378" t="inlineStr">
        <is>
          <t>PQ4880.A24 Z463 2003</t>
        </is>
      </c>
      <c r="E378" t="inlineStr">
        <is>
          <t>0                      PQ 4880000A  24                 Z  463         2003</t>
        </is>
      </c>
      <c r="F378" t="inlineStr">
        <is>
          <t>Autobiografie altrui : poetiche a posteriori / Antonio Tabucchi.</t>
        </is>
      </c>
      <c r="H378" t="inlineStr">
        <is>
          <t>No</t>
        </is>
      </c>
      <c r="I378" t="inlineStr">
        <is>
          <t>1</t>
        </is>
      </c>
      <c r="J378" t="inlineStr">
        <is>
          <t>No</t>
        </is>
      </c>
      <c r="K378" t="inlineStr">
        <is>
          <t>No</t>
        </is>
      </c>
      <c r="L378" t="inlineStr">
        <is>
          <t>0</t>
        </is>
      </c>
      <c r="M378" t="inlineStr">
        <is>
          <t>Tabucchi, Antonio, 1943-2012.</t>
        </is>
      </c>
      <c r="N378" t="inlineStr">
        <is>
          <t>Milano : Feltrinelli, 2003.</t>
        </is>
      </c>
      <c r="O378" t="inlineStr">
        <is>
          <t>2003</t>
        </is>
      </c>
      <c r="P378" t="inlineStr">
        <is>
          <t>1. ed. in "Fuori collana / Saggi"</t>
        </is>
      </c>
      <c r="Q378" t="inlineStr">
        <is>
          <t>ita</t>
        </is>
      </c>
      <c r="R378" t="inlineStr">
        <is>
          <t xml:space="preserve">it </t>
        </is>
      </c>
      <c r="S378" t="inlineStr">
        <is>
          <t>Fuori collana. Saggi</t>
        </is>
      </c>
      <c r="T378" t="inlineStr">
        <is>
          <t xml:space="preserve">PQ </t>
        </is>
      </c>
      <c r="U378" t="n">
        <v>3</v>
      </c>
      <c r="V378" t="n">
        <v>3</v>
      </c>
      <c r="W378" t="inlineStr">
        <is>
          <t>2005-11-10</t>
        </is>
      </c>
      <c r="X378" t="inlineStr">
        <is>
          <t>2005-11-10</t>
        </is>
      </c>
      <c r="Y378" t="inlineStr">
        <is>
          <t>2005-10-27</t>
        </is>
      </c>
      <c r="Z378" t="inlineStr">
        <is>
          <t>2005-10-27</t>
        </is>
      </c>
      <c r="AA378" t="n">
        <v>88</v>
      </c>
      <c r="AB378" t="n">
        <v>51</v>
      </c>
      <c r="AC378" t="n">
        <v>53</v>
      </c>
      <c r="AD378" t="n">
        <v>1</v>
      </c>
      <c r="AE378" t="n">
        <v>1</v>
      </c>
      <c r="AF378" t="n">
        <v>3</v>
      </c>
      <c r="AG378" t="n">
        <v>3</v>
      </c>
      <c r="AH378" t="n">
        <v>0</v>
      </c>
      <c r="AI378" t="n">
        <v>0</v>
      </c>
      <c r="AJ378" t="n">
        <v>2</v>
      </c>
      <c r="AK378" t="n">
        <v>2</v>
      </c>
      <c r="AL378" t="n">
        <v>2</v>
      </c>
      <c r="AM378" t="n">
        <v>2</v>
      </c>
      <c r="AN378" t="n">
        <v>0</v>
      </c>
      <c r="AO378" t="n">
        <v>0</v>
      </c>
      <c r="AP378" t="n">
        <v>0</v>
      </c>
      <c r="AQ378" t="n">
        <v>0</v>
      </c>
      <c r="AR378" t="inlineStr">
        <is>
          <t>No</t>
        </is>
      </c>
      <c r="AS378" t="inlineStr">
        <is>
          <t>Yes</t>
        </is>
      </c>
      <c r="AT378">
        <f>HYPERLINK("http://catalog.hathitrust.org/Record/004334473","HathiTrust Record")</f>
        <v/>
      </c>
      <c r="AU378">
        <f>HYPERLINK("https://creighton-primo.hosted.exlibrisgroup.com/primo-explore/search?tab=default_tab&amp;search_scope=EVERYTHING&amp;vid=01CRU&amp;lang=en_US&amp;offset=0&amp;query=any,contains,991004634549702656","Catalog Record")</f>
        <v/>
      </c>
      <c r="AV378">
        <f>HYPERLINK("http://www.worldcat.org/oclc/52476903","WorldCat Record")</f>
        <v/>
      </c>
      <c r="AW378" t="inlineStr">
        <is>
          <t>9800599:ita</t>
        </is>
      </c>
      <c r="AX378" t="inlineStr">
        <is>
          <t>52476903</t>
        </is>
      </c>
      <c r="AY378" t="inlineStr">
        <is>
          <t>991004634549702656</t>
        </is>
      </c>
      <c r="AZ378" t="inlineStr">
        <is>
          <t>991004634549702656</t>
        </is>
      </c>
      <c r="BA378" t="inlineStr">
        <is>
          <t>2254991710002656</t>
        </is>
      </c>
      <c r="BB378" t="inlineStr">
        <is>
          <t>BOOK</t>
        </is>
      </c>
      <c r="BD378" t="inlineStr">
        <is>
          <t>9788807420986</t>
        </is>
      </c>
      <c r="BE378" t="inlineStr">
        <is>
          <t>32285005142913</t>
        </is>
      </c>
      <c r="BF378" t="inlineStr">
        <is>
          <t>893235732</t>
        </is>
      </c>
    </row>
    <row r="379">
      <c r="A379" t="inlineStr">
        <is>
          <t>No</t>
        </is>
      </c>
      <c r="B379" t="inlineStr">
        <is>
          <t>CURAL</t>
        </is>
      </c>
      <c r="C379" t="inlineStr">
        <is>
          <t>SHELVES</t>
        </is>
      </c>
      <c r="D379" t="inlineStr">
        <is>
          <t>PQ521 .R6</t>
        </is>
      </c>
      <c r="E379" t="inlineStr">
        <is>
          <t>0                      PQ 0521000R  6</t>
        </is>
      </c>
      <c r="F379" t="inlineStr">
        <is>
          <t>Structural forms in the French theater, 1500-1700.</t>
        </is>
      </c>
      <c r="H379" t="inlineStr">
        <is>
          <t>No</t>
        </is>
      </c>
      <c r="I379" t="inlineStr">
        <is>
          <t>1</t>
        </is>
      </c>
      <c r="J379" t="inlineStr">
        <is>
          <t>No</t>
        </is>
      </c>
      <c r="K379" t="inlineStr">
        <is>
          <t>No</t>
        </is>
      </c>
      <c r="L379" t="inlineStr">
        <is>
          <t>0</t>
        </is>
      </c>
      <c r="M379" t="inlineStr">
        <is>
          <t>Roaten, Darnell H. (Darnell Higgins), 1916-</t>
        </is>
      </c>
      <c r="N379" t="inlineStr">
        <is>
          <t>Philadelphia : University of Pennsylvania Press, [1960]</t>
        </is>
      </c>
      <c r="O379" t="inlineStr">
        <is>
          <t>1960</t>
        </is>
      </c>
      <c r="Q379" t="inlineStr">
        <is>
          <t>eng</t>
        </is>
      </c>
      <c r="R379" t="inlineStr">
        <is>
          <t>pau</t>
        </is>
      </c>
      <c r="T379" t="inlineStr">
        <is>
          <t xml:space="preserve">PQ </t>
        </is>
      </c>
      <c r="U379" t="n">
        <v>0</v>
      </c>
      <c r="V379" t="n">
        <v>0</v>
      </c>
      <c r="W379" t="inlineStr">
        <is>
          <t>2003-09-17</t>
        </is>
      </c>
      <c r="X379" t="inlineStr">
        <is>
          <t>2003-09-17</t>
        </is>
      </c>
      <c r="Y379" t="inlineStr">
        <is>
          <t>1995-02-21</t>
        </is>
      </c>
      <c r="Z379" t="inlineStr">
        <is>
          <t>1995-02-21</t>
        </is>
      </c>
      <c r="AA379" t="n">
        <v>526</v>
      </c>
      <c r="AB379" t="n">
        <v>446</v>
      </c>
      <c r="AC379" t="n">
        <v>620</v>
      </c>
      <c r="AD379" t="n">
        <v>3</v>
      </c>
      <c r="AE379" t="n">
        <v>3</v>
      </c>
      <c r="AF379" t="n">
        <v>28</v>
      </c>
      <c r="AG379" t="n">
        <v>35</v>
      </c>
      <c r="AH379" t="n">
        <v>10</v>
      </c>
      <c r="AI379" t="n">
        <v>16</v>
      </c>
      <c r="AJ379" t="n">
        <v>6</v>
      </c>
      <c r="AK379" t="n">
        <v>8</v>
      </c>
      <c r="AL379" t="n">
        <v>16</v>
      </c>
      <c r="AM379" t="n">
        <v>18</v>
      </c>
      <c r="AN379" t="n">
        <v>1</v>
      </c>
      <c r="AO379" t="n">
        <v>1</v>
      </c>
      <c r="AP379" t="n">
        <v>0</v>
      </c>
      <c r="AQ379" t="n">
        <v>0</v>
      </c>
      <c r="AR379" t="inlineStr">
        <is>
          <t>Yes</t>
        </is>
      </c>
      <c r="AS379" t="inlineStr">
        <is>
          <t>No</t>
        </is>
      </c>
      <c r="AT379">
        <f>HYPERLINK("http://catalog.hathitrust.org/Record/001211091","HathiTrust Record")</f>
        <v/>
      </c>
      <c r="AU379">
        <f>HYPERLINK("https://creighton-primo.hosted.exlibrisgroup.com/primo-explore/search?tab=default_tab&amp;search_scope=EVERYTHING&amp;vid=01CRU&amp;lang=en_US&amp;offset=0&amp;query=any,contains,991002404329702656","Catalog Record")</f>
        <v/>
      </c>
      <c r="AV379">
        <f>HYPERLINK("http://www.worldcat.org/oclc/338420","WorldCat Record")</f>
        <v/>
      </c>
      <c r="AW379" t="inlineStr">
        <is>
          <t>376890043:eng</t>
        </is>
      </c>
      <c r="AX379" t="inlineStr">
        <is>
          <t>338420</t>
        </is>
      </c>
      <c r="AY379" t="inlineStr">
        <is>
          <t>991002404329702656</t>
        </is>
      </c>
      <c r="AZ379" t="inlineStr">
        <is>
          <t>991002404329702656</t>
        </is>
      </c>
      <c r="BA379" t="inlineStr">
        <is>
          <t>2257183980002656</t>
        </is>
      </c>
      <c r="BB379" t="inlineStr">
        <is>
          <t>BOOK</t>
        </is>
      </c>
      <c r="BE379" t="inlineStr">
        <is>
          <t>32285001989358</t>
        </is>
      </c>
      <c r="BF379" t="inlineStr">
        <is>
          <t>893251171</t>
        </is>
      </c>
    </row>
    <row r="380">
      <c r="A380" t="inlineStr">
        <is>
          <t>No</t>
        </is>
      </c>
      <c r="B380" t="inlineStr">
        <is>
          <t>CURAL</t>
        </is>
      </c>
      <c r="C380" t="inlineStr">
        <is>
          <t>SHELVES</t>
        </is>
      </c>
      <c r="D380" t="inlineStr">
        <is>
          <t>PQ53 .M58 2004</t>
        </is>
      </c>
      <c r="E380" t="inlineStr">
        <is>
          <t>0                      PQ 0053000M  58          2004</t>
        </is>
      </c>
      <c r="F380" t="inlineStr">
        <is>
          <t>Modern French literary studies in the classroom : pedagogical strategies / edited by Charles J. Stivale.</t>
        </is>
      </c>
      <c r="H380" t="inlineStr">
        <is>
          <t>No</t>
        </is>
      </c>
      <c r="I380" t="inlineStr">
        <is>
          <t>1</t>
        </is>
      </c>
      <c r="J380" t="inlineStr">
        <is>
          <t>No</t>
        </is>
      </c>
      <c r="K380" t="inlineStr">
        <is>
          <t>No</t>
        </is>
      </c>
      <c r="L380" t="inlineStr">
        <is>
          <t>0</t>
        </is>
      </c>
      <c r="N380" t="inlineStr">
        <is>
          <t>New York : Modern Language Association of America, 2004.</t>
        </is>
      </c>
      <c r="O380" t="inlineStr">
        <is>
          <t>2004</t>
        </is>
      </c>
      <c r="Q380" t="inlineStr">
        <is>
          <t>eng</t>
        </is>
      </c>
      <c r="R380" t="inlineStr">
        <is>
          <t>nyu</t>
        </is>
      </c>
      <c r="S380" t="inlineStr">
        <is>
          <t>Teaching languages, literatures, and cultures</t>
        </is>
      </c>
      <c r="T380" t="inlineStr">
        <is>
          <t xml:space="preserve">PQ </t>
        </is>
      </c>
      <c r="U380" t="n">
        <v>1</v>
      </c>
      <c r="V380" t="n">
        <v>1</v>
      </c>
      <c r="W380" t="inlineStr">
        <is>
          <t>2007-03-15</t>
        </is>
      </c>
      <c r="X380" t="inlineStr">
        <is>
          <t>2007-03-15</t>
        </is>
      </c>
      <c r="Y380" t="inlineStr">
        <is>
          <t>2007-03-15</t>
        </is>
      </c>
      <c r="Z380" t="inlineStr">
        <is>
          <t>2007-03-15</t>
        </is>
      </c>
      <c r="AA380" t="n">
        <v>245</v>
      </c>
      <c r="AB380" t="n">
        <v>225</v>
      </c>
      <c r="AC380" t="n">
        <v>230</v>
      </c>
      <c r="AD380" t="n">
        <v>5</v>
      </c>
      <c r="AE380" t="n">
        <v>5</v>
      </c>
      <c r="AF380" t="n">
        <v>12</v>
      </c>
      <c r="AG380" t="n">
        <v>12</v>
      </c>
      <c r="AH380" t="n">
        <v>3</v>
      </c>
      <c r="AI380" t="n">
        <v>3</v>
      </c>
      <c r="AJ380" t="n">
        <v>4</v>
      </c>
      <c r="AK380" t="n">
        <v>4</v>
      </c>
      <c r="AL380" t="n">
        <v>4</v>
      </c>
      <c r="AM380" t="n">
        <v>4</v>
      </c>
      <c r="AN380" t="n">
        <v>4</v>
      </c>
      <c r="AO380" t="n">
        <v>4</v>
      </c>
      <c r="AP380" t="n">
        <v>0</v>
      </c>
      <c r="AQ380" t="n">
        <v>0</v>
      </c>
      <c r="AR380" t="inlineStr">
        <is>
          <t>No</t>
        </is>
      </c>
      <c r="AS380" t="inlineStr">
        <is>
          <t>No</t>
        </is>
      </c>
      <c r="AU380">
        <f>HYPERLINK("https://creighton-primo.hosted.exlibrisgroup.com/primo-explore/search?tab=default_tab&amp;search_scope=EVERYTHING&amp;vid=01CRU&amp;lang=en_US&amp;offset=0&amp;query=any,contains,991005043989702656","Catalog Record")</f>
        <v/>
      </c>
      <c r="AV380">
        <f>HYPERLINK("http://www.worldcat.org/oclc/55730037","WorldCat Record")</f>
        <v/>
      </c>
      <c r="AW380" t="inlineStr">
        <is>
          <t>1032626:eng</t>
        </is>
      </c>
      <c r="AX380" t="inlineStr">
        <is>
          <t>55730037</t>
        </is>
      </c>
      <c r="AY380" t="inlineStr">
        <is>
          <t>991005043989702656</t>
        </is>
      </c>
      <c r="AZ380" t="inlineStr">
        <is>
          <t>991005043989702656</t>
        </is>
      </c>
      <c r="BA380" t="inlineStr">
        <is>
          <t>2255877510002656</t>
        </is>
      </c>
      <c r="BB380" t="inlineStr">
        <is>
          <t>BOOK</t>
        </is>
      </c>
      <c r="BD380" t="inlineStr">
        <is>
          <t>9780873528047</t>
        </is>
      </c>
      <c r="BE380" t="inlineStr">
        <is>
          <t>32285005282131</t>
        </is>
      </c>
      <c r="BF380" t="inlineStr">
        <is>
          <t>893688512</t>
        </is>
      </c>
    </row>
    <row r="381">
      <c r="A381" t="inlineStr">
        <is>
          <t>No</t>
        </is>
      </c>
      <c r="B381" t="inlineStr">
        <is>
          <t>CURAL</t>
        </is>
      </c>
      <c r="C381" t="inlineStr">
        <is>
          <t>SHELVES</t>
        </is>
      </c>
      <c r="D381" t="inlineStr">
        <is>
          <t>PQ53 .N8 1969</t>
        </is>
      </c>
      <c r="E381" t="inlineStr">
        <is>
          <t>0                      PQ 0053000N  8           1969</t>
        </is>
      </c>
      <c r="F381" t="inlineStr">
        <is>
          <t>The art of criticism; essays in French literary analysis, edited by Peter H. Nurse.</t>
        </is>
      </c>
      <c r="H381" t="inlineStr">
        <is>
          <t>No</t>
        </is>
      </c>
      <c r="I381" t="inlineStr">
        <is>
          <t>1</t>
        </is>
      </c>
      <c r="J381" t="inlineStr">
        <is>
          <t>No</t>
        </is>
      </c>
      <c r="K381" t="inlineStr">
        <is>
          <t>No</t>
        </is>
      </c>
      <c r="L381" t="inlineStr">
        <is>
          <t>0</t>
        </is>
      </c>
      <c r="M381" t="inlineStr">
        <is>
          <t>Nurse, Peter H., compiler.</t>
        </is>
      </c>
      <c r="N381" t="inlineStr">
        <is>
          <t>Edinburgh, University Press [1969]</t>
        </is>
      </c>
      <c r="O381" t="inlineStr">
        <is>
          <t>1969</t>
        </is>
      </c>
      <c r="Q381" t="inlineStr">
        <is>
          <t>eng</t>
        </is>
      </c>
      <c r="R381" t="inlineStr">
        <is>
          <t>enk</t>
        </is>
      </c>
      <c r="T381" t="inlineStr">
        <is>
          <t xml:space="preserve">PQ </t>
        </is>
      </c>
      <c r="U381" t="n">
        <v>4</v>
      </c>
      <c r="V381" t="n">
        <v>4</v>
      </c>
      <c r="W381" t="inlineStr">
        <is>
          <t>2000-02-15</t>
        </is>
      </c>
      <c r="X381" t="inlineStr">
        <is>
          <t>2000-02-15</t>
        </is>
      </c>
      <c r="Y381" t="inlineStr">
        <is>
          <t>1997-04-28</t>
        </is>
      </c>
      <c r="Z381" t="inlineStr">
        <is>
          <t>1997-04-28</t>
        </is>
      </c>
      <c r="AA381" t="n">
        <v>504</v>
      </c>
      <c r="AB381" t="n">
        <v>368</v>
      </c>
      <c r="AC381" t="n">
        <v>370</v>
      </c>
      <c r="AD381" t="n">
        <v>2</v>
      </c>
      <c r="AE381" t="n">
        <v>2</v>
      </c>
      <c r="AF381" t="n">
        <v>20</v>
      </c>
      <c r="AG381" t="n">
        <v>20</v>
      </c>
      <c r="AH381" t="n">
        <v>7</v>
      </c>
      <c r="AI381" t="n">
        <v>7</v>
      </c>
      <c r="AJ381" t="n">
        <v>6</v>
      </c>
      <c r="AK381" t="n">
        <v>6</v>
      </c>
      <c r="AL381" t="n">
        <v>12</v>
      </c>
      <c r="AM381" t="n">
        <v>12</v>
      </c>
      <c r="AN381" t="n">
        <v>1</v>
      </c>
      <c r="AO381" t="n">
        <v>1</v>
      </c>
      <c r="AP381" t="n">
        <v>0</v>
      </c>
      <c r="AQ381" t="n">
        <v>0</v>
      </c>
      <c r="AR381" t="inlineStr">
        <is>
          <t>No</t>
        </is>
      </c>
      <c r="AS381" t="inlineStr">
        <is>
          <t>Yes</t>
        </is>
      </c>
      <c r="AT381">
        <f>HYPERLINK("http://catalog.hathitrust.org/Record/001356328","HathiTrust Record")</f>
        <v/>
      </c>
      <c r="AU381">
        <f>HYPERLINK("https://creighton-primo.hosted.exlibrisgroup.com/primo-explore/search?tab=default_tab&amp;search_scope=EVERYTHING&amp;vid=01CRU&amp;lang=en_US&amp;offset=0&amp;query=any,contains,991000103039702656","Catalog Record")</f>
        <v/>
      </c>
      <c r="AV381">
        <f>HYPERLINK("http://www.worldcat.org/oclc/45278","WorldCat Record")</f>
        <v/>
      </c>
      <c r="AW381" t="inlineStr">
        <is>
          <t>103290839:eng</t>
        </is>
      </c>
      <c r="AX381" t="inlineStr">
        <is>
          <t>45278</t>
        </is>
      </c>
      <c r="AY381" t="inlineStr">
        <is>
          <t>991000103039702656</t>
        </is>
      </c>
      <c r="AZ381" t="inlineStr">
        <is>
          <t>991000103039702656</t>
        </is>
      </c>
      <c r="BA381" t="inlineStr">
        <is>
          <t>2261662340002656</t>
        </is>
      </c>
      <c r="BB381" t="inlineStr">
        <is>
          <t>BOOK</t>
        </is>
      </c>
      <c r="BD381" t="inlineStr">
        <is>
          <t>9780852240687</t>
        </is>
      </c>
      <c r="BE381" t="inlineStr">
        <is>
          <t>32285002588217</t>
        </is>
      </c>
      <c r="BF381" t="inlineStr">
        <is>
          <t>893314676</t>
        </is>
      </c>
    </row>
    <row r="382">
      <c r="A382" t="inlineStr">
        <is>
          <t>No</t>
        </is>
      </c>
      <c r="B382" t="inlineStr">
        <is>
          <t>CURAL</t>
        </is>
      </c>
      <c r="C382" t="inlineStr">
        <is>
          <t>SHELVES</t>
        </is>
      </c>
      <c r="D382" t="inlineStr">
        <is>
          <t>PQ551 .C5</t>
        </is>
      </c>
      <c r="E382" t="inlineStr">
        <is>
          <t>0                      PQ 0551000C  5</t>
        </is>
      </c>
      <c r="F382" t="inlineStr">
        <is>
          <t>The contemporary drama of France, by Frank Wadleigh Chandler ...</t>
        </is>
      </c>
      <c r="H382" t="inlineStr">
        <is>
          <t>No</t>
        </is>
      </c>
      <c r="I382" t="inlineStr">
        <is>
          <t>1</t>
        </is>
      </c>
      <c r="J382" t="inlineStr">
        <is>
          <t>No</t>
        </is>
      </c>
      <c r="K382" t="inlineStr">
        <is>
          <t>No</t>
        </is>
      </c>
      <c r="L382" t="inlineStr">
        <is>
          <t>0</t>
        </is>
      </c>
      <c r="M382" t="inlineStr">
        <is>
          <t>Chandler, Frank Wadleigh, 1873-1947.</t>
        </is>
      </c>
      <c r="N382" t="inlineStr">
        <is>
          <t>Boston, Little, Brown, and Company, 1920.</t>
        </is>
      </c>
      <c r="O382" t="inlineStr">
        <is>
          <t>1920</t>
        </is>
      </c>
      <c r="Q382" t="inlineStr">
        <is>
          <t>eng</t>
        </is>
      </c>
      <c r="R382" t="inlineStr">
        <is>
          <t>mau</t>
        </is>
      </c>
      <c r="S382" t="inlineStr">
        <is>
          <t>The Contemporary drama series</t>
        </is>
      </c>
      <c r="T382" t="inlineStr">
        <is>
          <t xml:space="preserve">PQ </t>
        </is>
      </c>
      <c r="U382" t="n">
        <v>1</v>
      </c>
      <c r="V382" t="n">
        <v>1</v>
      </c>
      <c r="W382" t="inlineStr">
        <is>
          <t>2002-10-11</t>
        </is>
      </c>
      <c r="X382" t="inlineStr">
        <is>
          <t>2002-10-11</t>
        </is>
      </c>
      <c r="Y382" t="inlineStr">
        <is>
          <t>1997-05-06</t>
        </is>
      </c>
      <c r="Z382" t="inlineStr">
        <is>
          <t>1997-05-06</t>
        </is>
      </c>
      <c r="AA382" t="n">
        <v>306</v>
      </c>
      <c r="AB382" t="n">
        <v>284</v>
      </c>
      <c r="AC382" t="n">
        <v>346</v>
      </c>
      <c r="AD382" t="n">
        <v>5</v>
      </c>
      <c r="AE382" t="n">
        <v>5</v>
      </c>
      <c r="AF382" t="n">
        <v>11</v>
      </c>
      <c r="AG382" t="n">
        <v>13</v>
      </c>
      <c r="AH382" t="n">
        <v>3</v>
      </c>
      <c r="AI382" t="n">
        <v>5</v>
      </c>
      <c r="AJ382" t="n">
        <v>1</v>
      </c>
      <c r="AK382" t="n">
        <v>1</v>
      </c>
      <c r="AL382" t="n">
        <v>5</v>
      </c>
      <c r="AM382" t="n">
        <v>6</v>
      </c>
      <c r="AN382" t="n">
        <v>4</v>
      </c>
      <c r="AO382" t="n">
        <v>4</v>
      </c>
      <c r="AP382" t="n">
        <v>0</v>
      </c>
      <c r="AQ382" t="n">
        <v>0</v>
      </c>
      <c r="AR382" t="inlineStr">
        <is>
          <t>Yes</t>
        </is>
      </c>
      <c r="AS382" t="inlineStr">
        <is>
          <t>No</t>
        </is>
      </c>
      <c r="AT382">
        <f>HYPERLINK("http://catalog.hathitrust.org/Record/001358589","HathiTrust Record")</f>
        <v/>
      </c>
      <c r="AU382">
        <f>HYPERLINK("https://creighton-primo.hosted.exlibrisgroup.com/primo-explore/search?tab=default_tab&amp;search_scope=EVERYTHING&amp;vid=01CRU&amp;lang=en_US&amp;offset=0&amp;query=any,contains,991003776519702656","Catalog Record")</f>
        <v/>
      </c>
      <c r="AV382">
        <f>HYPERLINK("http://www.worldcat.org/oclc/1484641","WorldCat Record")</f>
        <v/>
      </c>
      <c r="AW382" t="inlineStr">
        <is>
          <t>2386291:eng</t>
        </is>
      </c>
      <c r="AX382" t="inlineStr">
        <is>
          <t>1484641</t>
        </is>
      </c>
      <c r="AY382" t="inlineStr">
        <is>
          <t>991003776519702656</t>
        </is>
      </c>
      <c r="AZ382" t="inlineStr">
        <is>
          <t>991003776519702656</t>
        </is>
      </c>
      <c r="BA382" t="inlineStr">
        <is>
          <t>2272265940002656</t>
        </is>
      </c>
      <c r="BB382" t="inlineStr">
        <is>
          <t>BOOK</t>
        </is>
      </c>
      <c r="BE382" t="inlineStr">
        <is>
          <t>32285002650140</t>
        </is>
      </c>
      <c r="BF382" t="inlineStr">
        <is>
          <t>893875168</t>
        </is>
      </c>
    </row>
    <row r="383">
      <c r="A383" t="inlineStr">
        <is>
          <t>No</t>
        </is>
      </c>
      <c r="B383" t="inlineStr">
        <is>
          <t>CURAL</t>
        </is>
      </c>
      <c r="C383" t="inlineStr">
        <is>
          <t>SHELVES</t>
        </is>
      </c>
      <c r="D383" t="inlineStr">
        <is>
          <t>PQ556 .B67 1991</t>
        </is>
      </c>
      <c r="E383" t="inlineStr">
        <is>
          <t>0                      PQ 0556000B  67          1991</t>
        </is>
      </c>
      <c r="F383" t="inlineStr">
        <is>
          <t>Modern French drama, 1940-1990 / David Bradby.</t>
        </is>
      </c>
      <c r="H383" t="inlineStr">
        <is>
          <t>No</t>
        </is>
      </c>
      <c r="I383" t="inlineStr">
        <is>
          <t>1</t>
        </is>
      </c>
      <c r="J383" t="inlineStr">
        <is>
          <t>No</t>
        </is>
      </c>
      <c r="K383" t="inlineStr">
        <is>
          <t>No</t>
        </is>
      </c>
      <c r="L383" t="inlineStr">
        <is>
          <t>0</t>
        </is>
      </c>
      <c r="M383" t="inlineStr">
        <is>
          <t>Bradby, David.</t>
        </is>
      </c>
      <c r="N383" t="inlineStr">
        <is>
          <t>Cambridge ; New York : Cambridge University Press, 1991.</t>
        </is>
      </c>
      <c r="O383" t="inlineStr">
        <is>
          <t>1991</t>
        </is>
      </c>
      <c r="P383" t="inlineStr">
        <is>
          <t>2nd ed.</t>
        </is>
      </c>
      <c r="Q383" t="inlineStr">
        <is>
          <t>eng</t>
        </is>
      </c>
      <c r="R383" t="inlineStr">
        <is>
          <t>enk</t>
        </is>
      </c>
      <c r="T383" t="inlineStr">
        <is>
          <t xml:space="preserve">PQ </t>
        </is>
      </c>
      <c r="U383" t="n">
        <v>5</v>
      </c>
      <c r="V383" t="n">
        <v>5</v>
      </c>
      <c r="W383" t="inlineStr">
        <is>
          <t>1995-12-10</t>
        </is>
      </c>
      <c r="X383" t="inlineStr">
        <is>
          <t>1995-12-10</t>
        </is>
      </c>
      <c r="Y383" t="inlineStr">
        <is>
          <t>1992-07-09</t>
        </is>
      </c>
      <c r="Z383" t="inlineStr">
        <is>
          <t>1992-07-09</t>
        </is>
      </c>
      <c r="AA383" t="n">
        <v>470</v>
      </c>
      <c r="AB383" t="n">
        <v>314</v>
      </c>
      <c r="AC383" t="n">
        <v>315</v>
      </c>
      <c r="AD383" t="n">
        <v>3</v>
      </c>
      <c r="AE383" t="n">
        <v>3</v>
      </c>
      <c r="AF383" t="n">
        <v>17</v>
      </c>
      <c r="AG383" t="n">
        <v>17</v>
      </c>
      <c r="AH383" t="n">
        <v>4</v>
      </c>
      <c r="AI383" t="n">
        <v>4</v>
      </c>
      <c r="AJ383" t="n">
        <v>6</v>
      </c>
      <c r="AK383" t="n">
        <v>6</v>
      </c>
      <c r="AL383" t="n">
        <v>9</v>
      </c>
      <c r="AM383" t="n">
        <v>9</v>
      </c>
      <c r="AN383" t="n">
        <v>2</v>
      </c>
      <c r="AO383" t="n">
        <v>2</v>
      </c>
      <c r="AP383" t="n">
        <v>0</v>
      </c>
      <c r="AQ383" t="n">
        <v>0</v>
      </c>
      <c r="AR383" t="inlineStr">
        <is>
          <t>No</t>
        </is>
      </c>
      <c r="AS383" t="inlineStr">
        <is>
          <t>No</t>
        </is>
      </c>
      <c r="AU383">
        <f>HYPERLINK("https://creighton-primo.hosted.exlibrisgroup.com/primo-explore/search?tab=default_tab&amp;search_scope=EVERYTHING&amp;vid=01CRU&amp;lang=en_US&amp;offset=0&amp;query=any,contains,991001915899702656","Catalog Record")</f>
        <v/>
      </c>
      <c r="AV383">
        <f>HYPERLINK("http://www.worldcat.org/oclc/24175628","WorldCat Record")</f>
        <v/>
      </c>
      <c r="AW383" t="inlineStr">
        <is>
          <t>9512501253:eng</t>
        </is>
      </c>
      <c r="AX383" t="inlineStr">
        <is>
          <t>24175628</t>
        </is>
      </c>
      <c r="AY383" t="inlineStr">
        <is>
          <t>991001915899702656</t>
        </is>
      </c>
      <c r="AZ383" t="inlineStr">
        <is>
          <t>991001915899702656</t>
        </is>
      </c>
      <c r="BA383" t="inlineStr">
        <is>
          <t>2259008180002656</t>
        </is>
      </c>
      <c r="BB383" t="inlineStr">
        <is>
          <t>BOOK</t>
        </is>
      </c>
      <c r="BD383" t="inlineStr">
        <is>
          <t>9780521408431</t>
        </is>
      </c>
      <c r="BE383" t="inlineStr">
        <is>
          <t>32285001157980</t>
        </is>
      </c>
      <c r="BF383" t="inlineStr">
        <is>
          <t>893408467</t>
        </is>
      </c>
    </row>
    <row r="384">
      <c r="A384" t="inlineStr">
        <is>
          <t>No</t>
        </is>
      </c>
      <c r="B384" t="inlineStr">
        <is>
          <t>CURAL</t>
        </is>
      </c>
      <c r="C384" t="inlineStr">
        <is>
          <t>SHELVES</t>
        </is>
      </c>
      <c r="D384" t="inlineStr">
        <is>
          <t>PQ556 .D45 1987</t>
        </is>
      </c>
      <c r="E384" t="inlineStr">
        <is>
          <t>0                      PQ 0556000D  45          1987</t>
        </is>
      </c>
      <c r="F384" t="inlineStr">
        <is>
          <t>Le théâtre français depuis 1945 / Jean-Luc Dejean.</t>
        </is>
      </c>
      <c r="H384" t="inlineStr">
        <is>
          <t>No</t>
        </is>
      </c>
      <c r="I384" t="inlineStr">
        <is>
          <t>1</t>
        </is>
      </c>
      <c r="J384" t="inlineStr">
        <is>
          <t>No</t>
        </is>
      </c>
      <c r="K384" t="inlineStr">
        <is>
          <t>No</t>
        </is>
      </c>
      <c r="L384" t="inlineStr">
        <is>
          <t>0</t>
        </is>
      </c>
      <c r="M384" t="inlineStr">
        <is>
          <t>Déjean, Jean-Luc, 1921-</t>
        </is>
      </c>
      <c r="N384" t="inlineStr">
        <is>
          <t>Paris : Nathan, c1987.</t>
        </is>
      </c>
      <c r="O384" t="inlineStr">
        <is>
          <t>1987</t>
        </is>
      </c>
      <c r="Q384" t="inlineStr">
        <is>
          <t>fre</t>
        </is>
      </c>
      <c r="R384" t="inlineStr">
        <is>
          <t xml:space="preserve">fr </t>
        </is>
      </c>
      <c r="S384" t="inlineStr">
        <is>
          <t>Nathan université, information, formation. Arts</t>
        </is>
      </c>
      <c r="T384" t="inlineStr">
        <is>
          <t xml:space="preserve">PQ </t>
        </is>
      </c>
      <c r="U384" t="n">
        <v>2</v>
      </c>
      <c r="V384" t="n">
        <v>2</v>
      </c>
      <c r="W384" t="inlineStr">
        <is>
          <t>1995-12-10</t>
        </is>
      </c>
      <c r="X384" t="inlineStr">
        <is>
          <t>1995-12-10</t>
        </is>
      </c>
      <c r="Y384" t="inlineStr">
        <is>
          <t>1992-08-04</t>
        </is>
      </c>
      <c r="Z384" t="inlineStr">
        <is>
          <t>1992-08-04</t>
        </is>
      </c>
      <c r="AA384" t="n">
        <v>182</v>
      </c>
      <c r="AB384" t="n">
        <v>96</v>
      </c>
      <c r="AC384" t="n">
        <v>104</v>
      </c>
      <c r="AD384" t="n">
        <v>2</v>
      </c>
      <c r="AE384" t="n">
        <v>2</v>
      </c>
      <c r="AF384" t="n">
        <v>6</v>
      </c>
      <c r="AG384" t="n">
        <v>7</v>
      </c>
      <c r="AH384" t="n">
        <v>4</v>
      </c>
      <c r="AI384" t="n">
        <v>4</v>
      </c>
      <c r="AJ384" t="n">
        <v>1</v>
      </c>
      <c r="AK384" t="n">
        <v>1</v>
      </c>
      <c r="AL384" t="n">
        <v>2</v>
      </c>
      <c r="AM384" t="n">
        <v>3</v>
      </c>
      <c r="AN384" t="n">
        <v>1</v>
      </c>
      <c r="AO384" t="n">
        <v>1</v>
      </c>
      <c r="AP384" t="n">
        <v>0</v>
      </c>
      <c r="AQ384" t="n">
        <v>0</v>
      </c>
      <c r="AR384" t="inlineStr">
        <is>
          <t>No</t>
        </is>
      </c>
      <c r="AS384" t="inlineStr">
        <is>
          <t>No</t>
        </is>
      </c>
      <c r="AU384">
        <f>HYPERLINK("https://creighton-primo.hosted.exlibrisgroup.com/primo-explore/search?tab=default_tab&amp;search_scope=EVERYTHING&amp;vid=01CRU&amp;lang=en_US&amp;offset=0&amp;query=any,contains,991001238289702656","Catalog Record")</f>
        <v/>
      </c>
      <c r="AV384">
        <f>HYPERLINK("http://www.worldcat.org/oclc/17571116","WorldCat Record")</f>
        <v/>
      </c>
      <c r="AW384" t="inlineStr">
        <is>
          <t>348566325:fre</t>
        </is>
      </c>
      <c r="AX384" t="inlineStr">
        <is>
          <t>17571116</t>
        </is>
      </c>
      <c r="AY384" t="inlineStr">
        <is>
          <t>991001238289702656</t>
        </is>
      </c>
      <c r="AZ384" t="inlineStr">
        <is>
          <t>991001238289702656</t>
        </is>
      </c>
      <c r="BA384" t="inlineStr">
        <is>
          <t>2261707790002656</t>
        </is>
      </c>
      <c r="BB384" t="inlineStr">
        <is>
          <t>BOOK</t>
        </is>
      </c>
      <c r="BD384" t="inlineStr">
        <is>
          <t>9782091910314</t>
        </is>
      </c>
      <c r="BE384" t="inlineStr">
        <is>
          <t>32285001251247</t>
        </is>
      </c>
      <c r="BF384" t="inlineStr">
        <is>
          <t>893715291</t>
        </is>
      </c>
    </row>
    <row r="385">
      <c r="A385" t="inlineStr">
        <is>
          <t>No</t>
        </is>
      </c>
      <c r="B385" t="inlineStr">
        <is>
          <t>CURAL</t>
        </is>
      </c>
      <c r="C385" t="inlineStr">
        <is>
          <t>SHELVES</t>
        </is>
      </c>
      <c r="D385" t="inlineStr">
        <is>
          <t>PQ558 .C5 1970</t>
        </is>
      </c>
      <c r="E385" t="inlineStr">
        <is>
          <t>0                      PQ 0558000C  5           1970</t>
        </is>
      </c>
      <c r="F385" t="inlineStr">
        <is>
          <t>The contemporary French theatre; the flight from naturalism.</t>
        </is>
      </c>
      <c r="H385" t="inlineStr">
        <is>
          <t>No</t>
        </is>
      </c>
      <c r="I385" t="inlineStr">
        <is>
          <t>1</t>
        </is>
      </c>
      <c r="J385" t="inlineStr">
        <is>
          <t>No</t>
        </is>
      </c>
      <c r="K385" t="inlineStr">
        <is>
          <t>No</t>
        </is>
      </c>
      <c r="L385" t="inlineStr">
        <is>
          <t>0</t>
        </is>
      </c>
      <c r="M385" t="inlineStr">
        <is>
          <t>Chiari, Joseph.</t>
        </is>
      </c>
      <c r="N385" t="inlineStr">
        <is>
          <t>New York, Gordian Press, 1970 [c1958]</t>
        </is>
      </c>
      <c r="O385" t="inlineStr">
        <is>
          <t>1970</t>
        </is>
      </c>
      <c r="Q385" t="inlineStr">
        <is>
          <t>eng</t>
        </is>
      </c>
      <c r="R385" t="inlineStr">
        <is>
          <t>nyu</t>
        </is>
      </c>
      <c r="T385" t="inlineStr">
        <is>
          <t xml:space="preserve">PQ </t>
        </is>
      </c>
      <c r="U385" t="n">
        <v>3</v>
      </c>
      <c r="V385" t="n">
        <v>3</v>
      </c>
      <c r="W385" t="inlineStr">
        <is>
          <t>2004-12-06</t>
        </is>
      </c>
      <c r="X385" t="inlineStr">
        <is>
          <t>2004-12-06</t>
        </is>
      </c>
      <c r="Y385" t="inlineStr">
        <is>
          <t>1997-05-06</t>
        </is>
      </c>
      <c r="Z385" t="inlineStr">
        <is>
          <t>1997-05-06</t>
        </is>
      </c>
      <c r="AA385" t="n">
        <v>326</v>
      </c>
      <c r="AB385" t="n">
        <v>294</v>
      </c>
      <c r="AC385" t="n">
        <v>658</v>
      </c>
      <c r="AD385" t="n">
        <v>3</v>
      </c>
      <c r="AE385" t="n">
        <v>3</v>
      </c>
      <c r="AF385" t="n">
        <v>17</v>
      </c>
      <c r="AG385" t="n">
        <v>30</v>
      </c>
      <c r="AH385" t="n">
        <v>6</v>
      </c>
      <c r="AI385" t="n">
        <v>9</v>
      </c>
      <c r="AJ385" t="n">
        <v>4</v>
      </c>
      <c r="AK385" t="n">
        <v>8</v>
      </c>
      <c r="AL385" t="n">
        <v>8</v>
      </c>
      <c r="AM385" t="n">
        <v>16</v>
      </c>
      <c r="AN385" t="n">
        <v>2</v>
      </c>
      <c r="AO385" t="n">
        <v>2</v>
      </c>
      <c r="AP385" t="n">
        <v>0</v>
      </c>
      <c r="AQ385" t="n">
        <v>0</v>
      </c>
      <c r="AR385" t="inlineStr">
        <is>
          <t>No</t>
        </is>
      </c>
      <c r="AS385" t="inlineStr">
        <is>
          <t>No</t>
        </is>
      </c>
      <c r="AU385">
        <f>HYPERLINK("https://creighton-primo.hosted.exlibrisgroup.com/primo-explore/search?tab=default_tab&amp;search_scope=EVERYTHING&amp;vid=01CRU&amp;lang=en_US&amp;offset=0&amp;query=any,contains,991000656599702656","Catalog Record")</f>
        <v/>
      </c>
      <c r="AV385">
        <f>HYPERLINK("http://www.worldcat.org/oclc/115660","WorldCat Record")</f>
        <v/>
      </c>
      <c r="AW385" t="inlineStr">
        <is>
          <t>536193:eng</t>
        </is>
      </c>
      <c r="AX385" t="inlineStr">
        <is>
          <t>115660</t>
        </is>
      </c>
      <c r="AY385" t="inlineStr">
        <is>
          <t>991000656599702656</t>
        </is>
      </c>
      <c r="AZ385" t="inlineStr">
        <is>
          <t>991000656599702656</t>
        </is>
      </c>
      <c r="BA385" t="inlineStr">
        <is>
          <t>2260312910002656</t>
        </is>
      </c>
      <c r="BB385" t="inlineStr">
        <is>
          <t>BOOK</t>
        </is>
      </c>
      <c r="BD385" t="inlineStr">
        <is>
          <t>9780877521266</t>
        </is>
      </c>
      <c r="BE385" t="inlineStr">
        <is>
          <t>32285002650207</t>
        </is>
      </c>
      <c r="BF385" t="inlineStr">
        <is>
          <t>893413561</t>
        </is>
      </c>
    </row>
    <row r="386">
      <c r="A386" t="inlineStr">
        <is>
          <t>No</t>
        </is>
      </c>
      <c r="B386" t="inlineStr">
        <is>
          <t>CURAL</t>
        </is>
      </c>
      <c r="C386" t="inlineStr">
        <is>
          <t>SHELVES</t>
        </is>
      </c>
      <c r="D386" t="inlineStr">
        <is>
          <t>PQ561 .C6</t>
        </is>
      </c>
      <c r="E386" t="inlineStr">
        <is>
          <t>0                      PQ 0561000C  6</t>
        </is>
      </c>
      <c r="F386" t="inlineStr">
        <is>
          <t>French tragedy : the power of enactment / Albert Cook.</t>
        </is>
      </c>
      <c r="H386" t="inlineStr">
        <is>
          <t>No</t>
        </is>
      </c>
      <c r="I386" t="inlineStr">
        <is>
          <t>1</t>
        </is>
      </c>
      <c r="J386" t="inlineStr">
        <is>
          <t>No</t>
        </is>
      </c>
      <c r="K386" t="inlineStr">
        <is>
          <t>No</t>
        </is>
      </c>
      <c r="L386" t="inlineStr">
        <is>
          <t>0</t>
        </is>
      </c>
      <c r="M386" t="inlineStr">
        <is>
          <t>Cook, Albert, 1925-1998.</t>
        </is>
      </c>
      <c r="N386" t="inlineStr">
        <is>
          <t>Chicago : Swallow Press ; Athens, Ohio : Ohio University, c1981.</t>
        </is>
      </c>
      <c r="O386" t="inlineStr">
        <is>
          <t>1981</t>
        </is>
      </c>
      <c r="Q386" t="inlineStr">
        <is>
          <t>eng</t>
        </is>
      </c>
      <c r="R386" t="inlineStr">
        <is>
          <t>ilu</t>
        </is>
      </c>
      <c r="T386" t="inlineStr">
        <is>
          <t xml:space="preserve">PQ </t>
        </is>
      </c>
      <c r="U386" t="n">
        <v>3</v>
      </c>
      <c r="V386" t="n">
        <v>3</v>
      </c>
      <c r="W386" t="inlineStr">
        <is>
          <t>1994-02-02</t>
        </is>
      </c>
      <c r="X386" t="inlineStr">
        <is>
          <t>1994-02-02</t>
        </is>
      </c>
      <c r="Y386" t="inlineStr">
        <is>
          <t>1992-08-04</t>
        </is>
      </c>
      <c r="Z386" t="inlineStr">
        <is>
          <t>1992-08-04</t>
        </is>
      </c>
      <c r="AA386" t="n">
        <v>436</v>
      </c>
      <c r="AB386" t="n">
        <v>348</v>
      </c>
      <c r="AC386" t="n">
        <v>363</v>
      </c>
      <c r="AD386" t="n">
        <v>3</v>
      </c>
      <c r="AE386" t="n">
        <v>3</v>
      </c>
      <c r="AF386" t="n">
        <v>17</v>
      </c>
      <c r="AG386" t="n">
        <v>18</v>
      </c>
      <c r="AH386" t="n">
        <v>6</v>
      </c>
      <c r="AI386" t="n">
        <v>7</v>
      </c>
      <c r="AJ386" t="n">
        <v>3</v>
      </c>
      <c r="AK386" t="n">
        <v>3</v>
      </c>
      <c r="AL386" t="n">
        <v>11</v>
      </c>
      <c r="AM386" t="n">
        <v>12</v>
      </c>
      <c r="AN386" t="n">
        <v>2</v>
      </c>
      <c r="AO386" t="n">
        <v>2</v>
      </c>
      <c r="AP386" t="n">
        <v>0</v>
      </c>
      <c r="AQ386" t="n">
        <v>0</v>
      </c>
      <c r="AR386" t="inlineStr">
        <is>
          <t>No</t>
        </is>
      </c>
      <c r="AS386" t="inlineStr">
        <is>
          <t>Yes</t>
        </is>
      </c>
      <c r="AT386">
        <f>HYPERLINK("http://catalog.hathitrust.org/Record/000225644","HathiTrust Record")</f>
        <v/>
      </c>
      <c r="AU386">
        <f>HYPERLINK("https://creighton-primo.hosted.exlibrisgroup.com/primo-explore/search?tab=default_tab&amp;search_scope=EVERYTHING&amp;vid=01CRU&amp;lang=en_US&amp;offset=0&amp;query=any,contains,991005084619702656","Catalog Record")</f>
        <v/>
      </c>
      <c r="AV386">
        <f>HYPERLINK("http://www.worldcat.org/oclc/7179534","WorldCat Record")</f>
        <v/>
      </c>
      <c r="AW386" t="inlineStr">
        <is>
          <t>365520436:eng</t>
        </is>
      </c>
      <c r="AX386" t="inlineStr">
        <is>
          <t>7179534</t>
        </is>
      </c>
      <c r="AY386" t="inlineStr">
        <is>
          <t>991005084619702656</t>
        </is>
      </c>
      <c r="AZ386" t="inlineStr">
        <is>
          <t>991005084619702656</t>
        </is>
      </c>
      <c r="BA386" t="inlineStr">
        <is>
          <t>2267182780002656</t>
        </is>
      </c>
      <c r="BB386" t="inlineStr">
        <is>
          <t>BOOK</t>
        </is>
      </c>
      <c r="BD386" t="inlineStr">
        <is>
          <t>9780804005487</t>
        </is>
      </c>
      <c r="BE386" t="inlineStr">
        <is>
          <t>32285001251288</t>
        </is>
      </c>
      <c r="BF386" t="inlineStr">
        <is>
          <t>893514016</t>
        </is>
      </c>
    </row>
    <row r="387">
      <c r="A387" t="inlineStr">
        <is>
          <t>No</t>
        </is>
      </c>
      <c r="B387" t="inlineStr">
        <is>
          <t>CURAL</t>
        </is>
      </c>
      <c r="C387" t="inlineStr">
        <is>
          <t>SHELVES</t>
        </is>
      </c>
      <c r="D387" t="inlineStr">
        <is>
          <t>PQ6004.C274 S894 1981</t>
        </is>
      </c>
      <c r="E387" t="inlineStr">
        <is>
          <t>0                      PQ 6004000C  274                S  894         1981</t>
        </is>
      </c>
      <c r="F387" t="inlineStr">
        <is>
          <t>Studia hispánica in honour of Rodolfo Cardona / with introductions by Jorge Guillén y Juan Goytisolo ; [edited by Luis A. Ramos-García].</t>
        </is>
      </c>
      <c r="H387" t="inlineStr">
        <is>
          <t>No</t>
        </is>
      </c>
      <c r="I387" t="inlineStr">
        <is>
          <t>1</t>
        </is>
      </c>
      <c r="J387" t="inlineStr">
        <is>
          <t>No</t>
        </is>
      </c>
      <c r="K387" t="inlineStr">
        <is>
          <t>No</t>
        </is>
      </c>
      <c r="L387" t="inlineStr">
        <is>
          <t>0</t>
        </is>
      </c>
      <c r="N387" t="inlineStr">
        <is>
          <t>Austin, Tex. : Studia Hispánica Editors ; Madrid : Cátedra, 1981.</t>
        </is>
      </c>
      <c r="O387" t="inlineStr">
        <is>
          <t>1981</t>
        </is>
      </c>
      <c r="P387" t="inlineStr">
        <is>
          <t>1st ed.</t>
        </is>
      </c>
      <c r="Q387" t="inlineStr">
        <is>
          <t>spa</t>
        </is>
      </c>
      <c r="R387" t="inlineStr">
        <is>
          <t>txu</t>
        </is>
      </c>
      <c r="S387" t="inlineStr">
        <is>
          <t>Studia hispánica ; 1</t>
        </is>
      </c>
      <c r="T387" t="inlineStr">
        <is>
          <t xml:space="preserve">PQ </t>
        </is>
      </c>
      <c r="U387" t="n">
        <v>1</v>
      </c>
      <c r="V387" t="n">
        <v>1</v>
      </c>
      <c r="W387" t="inlineStr">
        <is>
          <t>2005-03-02</t>
        </is>
      </c>
      <c r="X387" t="inlineStr">
        <is>
          <t>2005-03-02</t>
        </is>
      </c>
      <c r="Y387" t="inlineStr">
        <is>
          <t>2005-03-02</t>
        </is>
      </c>
      <c r="Z387" t="inlineStr">
        <is>
          <t>2005-03-02</t>
        </is>
      </c>
      <c r="AA387" t="n">
        <v>73</v>
      </c>
      <c r="AB387" t="n">
        <v>57</v>
      </c>
      <c r="AC387" t="n">
        <v>64</v>
      </c>
      <c r="AD387" t="n">
        <v>1</v>
      </c>
      <c r="AE387" t="n">
        <v>1</v>
      </c>
      <c r="AF387" t="n">
        <v>1</v>
      </c>
      <c r="AG387" t="n">
        <v>1</v>
      </c>
      <c r="AH387" t="n">
        <v>0</v>
      </c>
      <c r="AI387" t="n">
        <v>0</v>
      </c>
      <c r="AJ387" t="n">
        <v>1</v>
      </c>
      <c r="AK387" t="n">
        <v>1</v>
      </c>
      <c r="AL387" t="n">
        <v>0</v>
      </c>
      <c r="AM387" t="n">
        <v>0</v>
      </c>
      <c r="AN387" t="n">
        <v>0</v>
      </c>
      <c r="AO387" t="n">
        <v>0</v>
      </c>
      <c r="AP387" t="n">
        <v>0</v>
      </c>
      <c r="AQ387" t="n">
        <v>0</v>
      </c>
      <c r="AR387" t="inlineStr">
        <is>
          <t>No</t>
        </is>
      </c>
      <c r="AS387" t="inlineStr">
        <is>
          <t>Yes</t>
        </is>
      </c>
      <c r="AT387">
        <f>HYPERLINK("http://catalog.hathitrust.org/Record/101094290","HathiTrust Record")</f>
        <v/>
      </c>
      <c r="AU387">
        <f>HYPERLINK("https://creighton-primo.hosted.exlibrisgroup.com/primo-explore/search?tab=default_tab&amp;search_scope=EVERYTHING&amp;vid=01CRU&amp;lang=en_US&amp;offset=0&amp;query=any,contains,991004490329702656","Catalog Record")</f>
        <v/>
      </c>
      <c r="AV387">
        <f>HYPERLINK("http://www.worldcat.org/oclc/13234234","WorldCat Record")</f>
        <v/>
      </c>
      <c r="AW387" t="inlineStr">
        <is>
          <t>7533539:spa</t>
        </is>
      </c>
      <c r="AX387" t="inlineStr">
        <is>
          <t>13234234</t>
        </is>
      </c>
      <c r="AY387" t="inlineStr">
        <is>
          <t>991004490329702656</t>
        </is>
      </c>
      <c r="AZ387" t="inlineStr">
        <is>
          <t>991004490329702656</t>
        </is>
      </c>
      <c r="BA387" t="inlineStr">
        <is>
          <t>2267659300002656</t>
        </is>
      </c>
      <c r="BB387" t="inlineStr">
        <is>
          <t>BOOK</t>
        </is>
      </c>
      <c r="BD387" t="inlineStr">
        <is>
          <t>9780934840019</t>
        </is>
      </c>
      <c r="BE387" t="inlineStr">
        <is>
          <t>32285005028989</t>
        </is>
      </c>
      <c r="BF387" t="inlineStr">
        <is>
          <t>893259779</t>
        </is>
      </c>
    </row>
    <row r="388">
      <c r="A388" t="inlineStr">
        <is>
          <t>No</t>
        </is>
      </c>
      <c r="B388" t="inlineStr">
        <is>
          <t>CURAL</t>
        </is>
      </c>
      <c r="C388" t="inlineStr">
        <is>
          <t>SHELVES</t>
        </is>
      </c>
      <c r="D388" t="inlineStr">
        <is>
          <t>PQ6007 .B718 1972</t>
        </is>
      </c>
      <c r="E388" t="inlineStr">
        <is>
          <t>0                      PQ 6007000B  718         1972</t>
        </is>
      </c>
      <c r="F388" t="inlineStr">
        <is>
          <t>Benedetto Croce y su crítica de la literatura española / Benito Brancaforte ; traducción española de Juan Conde.</t>
        </is>
      </c>
      <c r="H388" t="inlineStr">
        <is>
          <t>No</t>
        </is>
      </c>
      <c r="I388" t="inlineStr">
        <is>
          <t>1</t>
        </is>
      </c>
      <c r="J388" t="inlineStr">
        <is>
          <t>No</t>
        </is>
      </c>
      <c r="K388" t="inlineStr">
        <is>
          <t>No</t>
        </is>
      </c>
      <c r="L388" t="inlineStr">
        <is>
          <t>0</t>
        </is>
      </c>
      <c r="M388" t="inlineStr">
        <is>
          <t>Brancaforte, Benito.</t>
        </is>
      </c>
      <c r="N388" t="inlineStr">
        <is>
          <t>Madrid : Editorial Gredos, [1972]</t>
        </is>
      </c>
      <c r="O388" t="inlineStr">
        <is>
          <t>1972</t>
        </is>
      </c>
      <c r="Q388" t="inlineStr">
        <is>
          <t>spa</t>
        </is>
      </c>
      <c r="R388" t="inlineStr">
        <is>
          <t xml:space="preserve">sp </t>
        </is>
      </c>
      <c r="S388" t="inlineStr">
        <is>
          <t>Biblioteca románica hispánica. 2. Estudios y ensayos, 172</t>
        </is>
      </c>
      <c r="T388" t="inlineStr">
        <is>
          <t xml:space="preserve">PQ </t>
        </is>
      </c>
      <c r="U388" t="n">
        <v>1</v>
      </c>
      <c r="V388" t="n">
        <v>1</v>
      </c>
      <c r="W388" t="inlineStr">
        <is>
          <t>2005-03-02</t>
        </is>
      </c>
      <c r="X388" t="inlineStr">
        <is>
          <t>2005-03-02</t>
        </is>
      </c>
      <c r="Y388" t="inlineStr">
        <is>
          <t>2005-03-02</t>
        </is>
      </c>
      <c r="Z388" t="inlineStr">
        <is>
          <t>2005-03-02</t>
        </is>
      </c>
      <c r="AA388" t="n">
        <v>223</v>
      </c>
      <c r="AB388" t="n">
        <v>168</v>
      </c>
      <c r="AC388" t="n">
        <v>170</v>
      </c>
      <c r="AD388" t="n">
        <v>2</v>
      </c>
      <c r="AE388" t="n">
        <v>2</v>
      </c>
      <c r="AF388" t="n">
        <v>8</v>
      </c>
      <c r="AG388" t="n">
        <v>8</v>
      </c>
      <c r="AH388" t="n">
        <v>2</v>
      </c>
      <c r="AI388" t="n">
        <v>2</v>
      </c>
      <c r="AJ388" t="n">
        <v>3</v>
      </c>
      <c r="AK388" t="n">
        <v>3</v>
      </c>
      <c r="AL388" t="n">
        <v>5</v>
      </c>
      <c r="AM388" t="n">
        <v>5</v>
      </c>
      <c r="AN388" t="n">
        <v>1</v>
      </c>
      <c r="AO388" t="n">
        <v>1</v>
      </c>
      <c r="AP388" t="n">
        <v>0</v>
      </c>
      <c r="AQ388" t="n">
        <v>0</v>
      </c>
      <c r="AR388" t="inlineStr">
        <is>
          <t>No</t>
        </is>
      </c>
      <c r="AS388" t="inlineStr">
        <is>
          <t>Yes</t>
        </is>
      </c>
      <c r="AT388">
        <f>HYPERLINK("http://catalog.hathitrust.org/Record/001048495","HathiTrust Record")</f>
        <v/>
      </c>
      <c r="AU388">
        <f>HYPERLINK("https://creighton-primo.hosted.exlibrisgroup.com/primo-explore/search?tab=default_tab&amp;search_scope=EVERYTHING&amp;vid=01CRU&amp;lang=en_US&amp;offset=0&amp;query=any,contains,991004490439702656","Catalog Record")</f>
        <v/>
      </c>
      <c r="AV388">
        <f>HYPERLINK("http://www.worldcat.org/oclc/536334","WorldCat Record")</f>
        <v/>
      </c>
      <c r="AW388" t="inlineStr">
        <is>
          <t>1558685:spa</t>
        </is>
      </c>
      <c r="AX388" t="inlineStr">
        <is>
          <t>536334</t>
        </is>
      </c>
      <c r="AY388" t="inlineStr">
        <is>
          <t>991004490439702656</t>
        </is>
      </c>
      <c r="AZ388" t="inlineStr">
        <is>
          <t>991004490439702656</t>
        </is>
      </c>
      <c r="BA388" t="inlineStr">
        <is>
          <t>2260780020002656</t>
        </is>
      </c>
      <c r="BB388" t="inlineStr">
        <is>
          <t>BOOK</t>
        </is>
      </c>
      <c r="BE388" t="inlineStr">
        <is>
          <t>32285005028922</t>
        </is>
      </c>
      <c r="BF388" t="inlineStr">
        <is>
          <t>893519718</t>
        </is>
      </c>
    </row>
    <row r="389">
      <c r="A389" t="inlineStr">
        <is>
          <t>No</t>
        </is>
      </c>
      <c r="B389" t="inlineStr">
        <is>
          <t>CURAL</t>
        </is>
      </c>
      <c r="C389" t="inlineStr">
        <is>
          <t>SHELVES</t>
        </is>
      </c>
      <c r="D389" t="inlineStr">
        <is>
          <t>PQ6014 .H47 1989</t>
        </is>
      </c>
      <c r="E389" t="inlineStr">
        <is>
          <t>0                      PQ 6014000H  47          1989</t>
        </is>
      </c>
      <c r="F389" t="inlineStr">
        <is>
          <t>Approaches to teaching Spanish Golden Age drama / edited by Everett W. Hesse, with the assistance of Catherine Larson.</t>
        </is>
      </c>
      <c r="H389" t="inlineStr">
        <is>
          <t>No</t>
        </is>
      </c>
      <c r="I389" t="inlineStr">
        <is>
          <t>1</t>
        </is>
      </c>
      <c r="J389" t="inlineStr">
        <is>
          <t>No</t>
        </is>
      </c>
      <c r="K389" t="inlineStr">
        <is>
          <t>No</t>
        </is>
      </c>
      <c r="L389" t="inlineStr">
        <is>
          <t>0</t>
        </is>
      </c>
      <c r="N389" t="inlineStr">
        <is>
          <t>York, S.C. : Spanish Literature Publications Co., 1989.</t>
        </is>
      </c>
      <c r="O389" t="inlineStr">
        <is>
          <t>1989</t>
        </is>
      </c>
      <c r="Q389" t="inlineStr">
        <is>
          <t>eng</t>
        </is>
      </c>
      <c r="R389" t="inlineStr">
        <is>
          <t>scu</t>
        </is>
      </c>
      <c r="T389" t="inlineStr">
        <is>
          <t xml:space="preserve">PQ </t>
        </is>
      </c>
      <c r="U389" t="n">
        <v>1</v>
      </c>
      <c r="V389" t="n">
        <v>1</v>
      </c>
      <c r="W389" t="inlineStr">
        <is>
          <t>2003-04-15</t>
        </is>
      </c>
      <c r="X389" t="inlineStr">
        <is>
          <t>2003-04-15</t>
        </is>
      </c>
      <c r="Y389" t="inlineStr">
        <is>
          <t>2003-04-15</t>
        </is>
      </c>
      <c r="Z389" t="inlineStr">
        <is>
          <t>2003-04-15</t>
        </is>
      </c>
      <c r="AA389" t="n">
        <v>208</v>
      </c>
      <c r="AB389" t="n">
        <v>175</v>
      </c>
      <c r="AC389" t="n">
        <v>182</v>
      </c>
      <c r="AD389" t="n">
        <v>4</v>
      </c>
      <c r="AE389" t="n">
        <v>4</v>
      </c>
      <c r="AF389" t="n">
        <v>13</v>
      </c>
      <c r="AG389" t="n">
        <v>13</v>
      </c>
      <c r="AH389" t="n">
        <v>2</v>
      </c>
      <c r="AI389" t="n">
        <v>2</v>
      </c>
      <c r="AJ389" t="n">
        <v>4</v>
      </c>
      <c r="AK389" t="n">
        <v>4</v>
      </c>
      <c r="AL389" t="n">
        <v>6</v>
      </c>
      <c r="AM389" t="n">
        <v>6</v>
      </c>
      <c r="AN389" t="n">
        <v>3</v>
      </c>
      <c r="AO389" t="n">
        <v>3</v>
      </c>
      <c r="AP389" t="n">
        <v>0</v>
      </c>
      <c r="AQ389" t="n">
        <v>0</v>
      </c>
      <c r="AR389" t="inlineStr">
        <is>
          <t>No</t>
        </is>
      </c>
      <c r="AS389" t="inlineStr">
        <is>
          <t>Yes</t>
        </is>
      </c>
      <c r="AT389">
        <f>HYPERLINK("http://catalog.hathitrust.org/Record/003084178","HathiTrust Record")</f>
        <v/>
      </c>
      <c r="AU389">
        <f>HYPERLINK("https://creighton-primo.hosted.exlibrisgroup.com/primo-explore/search?tab=default_tab&amp;search_scope=EVERYTHING&amp;vid=01CRU&amp;lang=en_US&amp;offset=0&amp;query=any,contains,991004027709702656","Catalog Record")</f>
        <v/>
      </c>
      <c r="AV389">
        <f>HYPERLINK("http://www.worldcat.org/oclc/20507543","WorldCat Record")</f>
        <v/>
      </c>
      <c r="AW389" t="inlineStr">
        <is>
          <t>365336347:eng</t>
        </is>
      </c>
      <c r="AX389" t="inlineStr">
        <is>
          <t>20507543</t>
        </is>
      </c>
      <c r="AY389" t="inlineStr">
        <is>
          <t>991004027709702656</t>
        </is>
      </c>
      <c r="AZ389" t="inlineStr">
        <is>
          <t>991004027709702656</t>
        </is>
      </c>
      <c r="BA389" t="inlineStr">
        <is>
          <t>2258227240002656</t>
        </is>
      </c>
      <c r="BB389" t="inlineStr">
        <is>
          <t>BOOK</t>
        </is>
      </c>
      <c r="BD389" t="inlineStr">
        <is>
          <t>9780938972143</t>
        </is>
      </c>
      <c r="BE389" t="inlineStr">
        <is>
          <t>32285004742507</t>
        </is>
      </c>
      <c r="BF389" t="inlineStr">
        <is>
          <t>893900702</t>
        </is>
      </c>
    </row>
    <row r="390">
      <c r="A390" t="inlineStr">
        <is>
          <t>No</t>
        </is>
      </c>
      <c r="B390" t="inlineStr">
        <is>
          <t>CURAL</t>
        </is>
      </c>
      <c r="C390" t="inlineStr">
        <is>
          <t>SHELVES</t>
        </is>
      </c>
      <c r="D390" t="inlineStr">
        <is>
          <t>PQ6014 .L3 1975</t>
        </is>
      </c>
      <c r="E390" t="inlineStr">
        <is>
          <t>0                      PQ 6014000L  3           1975</t>
        </is>
      </c>
      <c r="F390" t="inlineStr">
        <is>
          <t>Caomo se comenta un texto literario / Fernando Laazaro Carreter, Evasisto Correa Calderaon.</t>
        </is>
      </c>
      <c r="H390" t="inlineStr">
        <is>
          <t>No</t>
        </is>
      </c>
      <c r="I390" t="inlineStr">
        <is>
          <t>1</t>
        </is>
      </c>
      <c r="J390" t="inlineStr">
        <is>
          <t>No</t>
        </is>
      </c>
      <c r="K390" t="inlineStr">
        <is>
          <t>Yes</t>
        </is>
      </c>
      <c r="L390" t="inlineStr">
        <is>
          <t>0</t>
        </is>
      </c>
      <c r="M390" t="inlineStr">
        <is>
          <t>Lázaro Carreter, Fernando.</t>
        </is>
      </c>
      <c r="N390" t="inlineStr">
        <is>
          <t>Madrid : Ediciones Caatedra, 1975.</t>
        </is>
      </c>
      <c r="O390" t="inlineStr">
        <is>
          <t>1975</t>
        </is>
      </c>
      <c r="P390" t="inlineStr">
        <is>
          <t>Ed. rev. y amp. 13 ed.</t>
        </is>
      </c>
      <c r="Q390" t="inlineStr">
        <is>
          <t>spa</t>
        </is>
      </c>
      <c r="R390" t="inlineStr">
        <is>
          <t xml:space="preserve">sp </t>
        </is>
      </c>
      <c r="T390" t="inlineStr">
        <is>
          <t xml:space="preserve">PQ </t>
        </is>
      </c>
      <c r="U390" t="n">
        <v>1</v>
      </c>
      <c r="V390" t="n">
        <v>1</v>
      </c>
      <c r="W390" t="inlineStr">
        <is>
          <t>2004-11-15</t>
        </is>
      </c>
      <c r="X390" t="inlineStr">
        <is>
          <t>2004-11-15</t>
        </is>
      </c>
      <c r="Y390" t="inlineStr">
        <is>
          <t>2004-08-04</t>
        </is>
      </c>
      <c r="Z390" t="inlineStr">
        <is>
          <t>2004-08-04</t>
        </is>
      </c>
      <c r="AA390" t="n">
        <v>53</v>
      </c>
      <c r="AB390" t="n">
        <v>46</v>
      </c>
      <c r="AC390" t="n">
        <v>572</v>
      </c>
      <c r="AD390" t="n">
        <v>1</v>
      </c>
      <c r="AE390" t="n">
        <v>3</v>
      </c>
      <c r="AF390" t="n">
        <v>2</v>
      </c>
      <c r="AG390" t="n">
        <v>31</v>
      </c>
      <c r="AH390" t="n">
        <v>0</v>
      </c>
      <c r="AI390" t="n">
        <v>16</v>
      </c>
      <c r="AJ390" t="n">
        <v>1</v>
      </c>
      <c r="AK390" t="n">
        <v>6</v>
      </c>
      <c r="AL390" t="n">
        <v>2</v>
      </c>
      <c r="AM390" t="n">
        <v>18</v>
      </c>
      <c r="AN390" t="n">
        <v>0</v>
      </c>
      <c r="AO390" t="n">
        <v>2</v>
      </c>
      <c r="AP390" t="n">
        <v>0</v>
      </c>
      <c r="AQ390" t="n">
        <v>0</v>
      </c>
      <c r="AR390" t="inlineStr">
        <is>
          <t>No</t>
        </is>
      </c>
      <c r="AS390" t="inlineStr">
        <is>
          <t>No</t>
        </is>
      </c>
      <c r="AU390">
        <f>HYPERLINK("https://creighton-primo.hosted.exlibrisgroup.com/primo-explore/search?tab=default_tab&amp;search_scope=EVERYTHING&amp;vid=01CRU&amp;lang=en_US&amp;offset=0&amp;query=any,contains,991004335849702656","Catalog Record")</f>
        <v/>
      </c>
      <c r="AV390">
        <f>HYPERLINK("http://www.worldcat.org/oclc/2013485","WorldCat Record")</f>
        <v/>
      </c>
      <c r="AW390" t="inlineStr">
        <is>
          <t>2628984:spa</t>
        </is>
      </c>
      <c r="AX390" t="inlineStr">
        <is>
          <t>2013485</t>
        </is>
      </c>
      <c r="AY390" t="inlineStr">
        <is>
          <t>991004335849702656</t>
        </is>
      </c>
      <c r="AZ390" t="inlineStr">
        <is>
          <t>991004335849702656</t>
        </is>
      </c>
      <c r="BA390" t="inlineStr">
        <is>
          <t>2267702780002656</t>
        </is>
      </c>
      <c r="BB390" t="inlineStr">
        <is>
          <t>BOOK</t>
        </is>
      </c>
      <c r="BD390" t="inlineStr">
        <is>
          <t>9788437600246</t>
        </is>
      </c>
      <c r="BE390" t="inlineStr">
        <is>
          <t>32285004928288</t>
        </is>
      </c>
      <c r="BF390" t="inlineStr">
        <is>
          <t>893718783</t>
        </is>
      </c>
    </row>
    <row r="391">
      <c r="A391" t="inlineStr">
        <is>
          <t>No</t>
        </is>
      </c>
      <c r="B391" t="inlineStr">
        <is>
          <t>CURAL</t>
        </is>
      </c>
      <c r="C391" t="inlineStr">
        <is>
          <t>SHELVES</t>
        </is>
      </c>
      <c r="D391" t="inlineStr">
        <is>
          <t>PQ6020.M4 S26 1974</t>
        </is>
      </c>
      <c r="E391" t="inlineStr">
        <is>
          <t>0                      PQ 6020000M  4                  S  26          1974</t>
        </is>
      </c>
      <c r="F391" t="inlineStr">
        <is>
          <t>Biografía crítica y documental de Marcelino Menéndez Pelayo / por Enrique Sánchez Reyes.</t>
        </is>
      </c>
      <c r="H391" t="inlineStr">
        <is>
          <t>No</t>
        </is>
      </c>
      <c r="I391" t="inlineStr">
        <is>
          <t>1</t>
        </is>
      </c>
      <c r="J391" t="inlineStr">
        <is>
          <t>No</t>
        </is>
      </c>
      <c r="K391" t="inlineStr">
        <is>
          <t>No</t>
        </is>
      </c>
      <c r="L391" t="inlineStr">
        <is>
          <t>0</t>
        </is>
      </c>
      <c r="M391" t="inlineStr">
        <is>
          <t>Sánchez Reyes, Enrique.</t>
        </is>
      </c>
      <c r="N391" t="inlineStr">
        <is>
          <t>Santander : Aldus, 1974.</t>
        </is>
      </c>
      <c r="O391" t="inlineStr">
        <is>
          <t>1974</t>
        </is>
      </c>
      <c r="P391" t="inlineStr">
        <is>
          <t>3. ed. aum.</t>
        </is>
      </c>
      <c r="Q391" t="inlineStr">
        <is>
          <t>spa</t>
        </is>
      </c>
      <c r="R391" t="inlineStr">
        <is>
          <t xml:space="preserve">sp </t>
        </is>
      </c>
      <c r="S391" t="inlineStr">
        <is>
          <t>Edición nacional de las obras completas de Menéndez Pelayo ; 66</t>
        </is>
      </c>
      <c r="T391" t="inlineStr">
        <is>
          <t xml:space="preserve">PQ </t>
        </is>
      </c>
      <c r="U391" t="n">
        <v>1</v>
      </c>
      <c r="V391" t="n">
        <v>1</v>
      </c>
      <c r="W391" t="inlineStr">
        <is>
          <t>2005-04-06</t>
        </is>
      </c>
      <c r="X391" t="inlineStr">
        <is>
          <t>2005-04-06</t>
        </is>
      </c>
      <c r="Y391" t="inlineStr">
        <is>
          <t>2005-04-06</t>
        </is>
      </c>
      <c r="Z391" t="inlineStr">
        <is>
          <t>2005-04-06</t>
        </is>
      </c>
      <c r="AA391" t="n">
        <v>65</v>
      </c>
      <c r="AB391" t="n">
        <v>36</v>
      </c>
      <c r="AC391" t="n">
        <v>39</v>
      </c>
      <c r="AD391" t="n">
        <v>1</v>
      </c>
      <c r="AE391" t="n">
        <v>1</v>
      </c>
      <c r="AF391" t="n">
        <v>1</v>
      </c>
      <c r="AG391" t="n">
        <v>1</v>
      </c>
      <c r="AH391" t="n">
        <v>0</v>
      </c>
      <c r="AI391" t="n">
        <v>0</v>
      </c>
      <c r="AJ391" t="n">
        <v>1</v>
      </c>
      <c r="AK391" t="n">
        <v>1</v>
      </c>
      <c r="AL391" t="n">
        <v>1</v>
      </c>
      <c r="AM391" t="n">
        <v>1</v>
      </c>
      <c r="AN391" t="n">
        <v>0</v>
      </c>
      <c r="AO391" t="n">
        <v>0</v>
      </c>
      <c r="AP391" t="n">
        <v>0</v>
      </c>
      <c r="AQ391" t="n">
        <v>0</v>
      </c>
      <c r="AR391" t="inlineStr">
        <is>
          <t>No</t>
        </is>
      </c>
      <c r="AS391" t="inlineStr">
        <is>
          <t>Yes</t>
        </is>
      </c>
      <c r="AT391">
        <f>HYPERLINK("http://catalog.hathitrust.org/Record/009104406","HathiTrust Record")</f>
        <v/>
      </c>
      <c r="AU391">
        <f>HYPERLINK("https://creighton-primo.hosted.exlibrisgroup.com/primo-explore/search?tab=default_tab&amp;search_scope=EVERYTHING&amp;vid=01CRU&amp;lang=en_US&amp;offset=0&amp;query=any,contains,991004523559702656","Catalog Record")</f>
        <v/>
      </c>
      <c r="AV391">
        <f>HYPERLINK("http://www.worldcat.org/oclc/2009251","WorldCat Record")</f>
        <v/>
      </c>
      <c r="AW391" t="inlineStr">
        <is>
          <t>2637879:spa</t>
        </is>
      </c>
      <c r="AX391" t="inlineStr">
        <is>
          <t>2009251</t>
        </is>
      </c>
      <c r="AY391" t="inlineStr">
        <is>
          <t>991004523559702656</t>
        </is>
      </c>
      <c r="AZ391" t="inlineStr">
        <is>
          <t>991004523559702656</t>
        </is>
      </c>
      <c r="BA391" t="inlineStr">
        <is>
          <t>2263234760002656</t>
        </is>
      </c>
      <c r="BB391" t="inlineStr">
        <is>
          <t>BOOK</t>
        </is>
      </c>
      <c r="BD391" t="inlineStr">
        <is>
          <t>9788400039615</t>
        </is>
      </c>
      <c r="BE391" t="inlineStr">
        <is>
          <t>32285005048458</t>
        </is>
      </c>
      <c r="BF391" t="inlineStr">
        <is>
          <t>893901323</t>
        </is>
      </c>
    </row>
    <row r="392">
      <c r="A392" t="inlineStr">
        <is>
          <t>No</t>
        </is>
      </c>
      <c r="B392" t="inlineStr">
        <is>
          <t>CURAL</t>
        </is>
      </c>
      <c r="C392" t="inlineStr">
        <is>
          <t>SHELVES</t>
        </is>
      </c>
      <c r="D392" t="inlineStr">
        <is>
          <t>PQ6030 .S3</t>
        </is>
      </c>
      <c r="E392" t="inlineStr">
        <is>
          <t>0                      PQ 6030000S  3</t>
        </is>
      </c>
      <c r="F392" t="inlineStr">
        <is>
          <t>Ensayos de literatura hispánica, del "Cantar de mío Cid" a García Lorca. Edición y prólogo de Juan Marichal.</t>
        </is>
      </c>
      <c r="H392" t="inlineStr">
        <is>
          <t>No</t>
        </is>
      </c>
      <c r="I392" t="inlineStr">
        <is>
          <t>1</t>
        </is>
      </c>
      <c r="J392" t="inlineStr">
        <is>
          <t>No</t>
        </is>
      </c>
      <c r="K392" t="inlineStr">
        <is>
          <t>No</t>
        </is>
      </c>
      <c r="L392" t="inlineStr">
        <is>
          <t>0</t>
        </is>
      </c>
      <c r="M392" t="inlineStr">
        <is>
          <t>Salinas, Pedro, 1892-1951.</t>
        </is>
      </c>
      <c r="N392" t="inlineStr">
        <is>
          <t>Madrid, Aguilar, 1958.</t>
        </is>
      </c>
      <c r="O392" t="inlineStr">
        <is>
          <t>1958</t>
        </is>
      </c>
      <c r="Q392" t="inlineStr">
        <is>
          <t>spa</t>
        </is>
      </c>
      <c r="R392" t="inlineStr">
        <is>
          <t xml:space="preserve">sp </t>
        </is>
      </c>
      <c r="S392" t="inlineStr">
        <is>
          <t>Ensayistas hispánicos</t>
        </is>
      </c>
      <c r="T392" t="inlineStr">
        <is>
          <t xml:space="preserve">PQ </t>
        </is>
      </c>
      <c r="U392" t="n">
        <v>1</v>
      </c>
      <c r="V392" t="n">
        <v>1</v>
      </c>
      <c r="W392" t="inlineStr">
        <is>
          <t>2001-09-24</t>
        </is>
      </c>
      <c r="X392" t="inlineStr">
        <is>
          <t>2001-09-24</t>
        </is>
      </c>
      <c r="Y392" t="inlineStr">
        <is>
          <t>1997-06-25</t>
        </is>
      </c>
      <c r="Z392" t="inlineStr">
        <is>
          <t>1997-06-25</t>
        </is>
      </c>
      <c r="AA392" t="n">
        <v>200</v>
      </c>
      <c r="AB392" t="n">
        <v>161</v>
      </c>
      <c r="AC392" t="n">
        <v>351</v>
      </c>
      <c r="AD392" t="n">
        <v>2</v>
      </c>
      <c r="AE392" t="n">
        <v>3</v>
      </c>
      <c r="AF392" t="n">
        <v>10</v>
      </c>
      <c r="AG392" t="n">
        <v>24</v>
      </c>
      <c r="AH392" t="n">
        <v>2</v>
      </c>
      <c r="AI392" t="n">
        <v>7</v>
      </c>
      <c r="AJ392" t="n">
        <v>3</v>
      </c>
      <c r="AK392" t="n">
        <v>7</v>
      </c>
      <c r="AL392" t="n">
        <v>6</v>
      </c>
      <c r="AM392" t="n">
        <v>14</v>
      </c>
      <c r="AN392" t="n">
        <v>1</v>
      </c>
      <c r="AO392" t="n">
        <v>2</v>
      </c>
      <c r="AP392" t="n">
        <v>0</v>
      </c>
      <c r="AQ392" t="n">
        <v>0</v>
      </c>
      <c r="AR392" t="inlineStr">
        <is>
          <t>No</t>
        </is>
      </c>
      <c r="AS392" t="inlineStr">
        <is>
          <t>Yes</t>
        </is>
      </c>
      <c r="AT392">
        <f>HYPERLINK("http://catalog.hathitrust.org/Record/001048682","HathiTrust Record")</f>
        <v/>
      </c>
      <c r="AU392">
        <f>HYPERLINK("https://creighton-primo.hosted.exlibrisgroup.com/primo-explore/search?tab=default_tab&amp;search_scope=EVERYTHING&amp;vid=01CRU&amp;lang=en_US&amp;offset=0&amp;query=any,contains,991003873479702656","Catalog Record")</f>
        <v/>
      </c>
      <c r="AV392">
        <f>HYPERLINK("http://www.worldcat.org/oclc/1698921","WorldCat Record")</f>
        <v/>
      </c>
      <c r="AW392" t="inlineStr">
        <is>
          <t>8353746:spa</t>
        </is>
      </c>
      <c r="AX392" t="inlineStr">
        <is>
          <t>1698921</t>
        </is>
      </c>
      <c r="AY392" t="inlineStr">
        <is>
          <t>991003873479702656</t>
        </is>
      </c>
      <c r="AZ392" t="inlineStr">
        <is>
          <t>991003873479702656</t>
        </is>
      </c>
      <c r="BA392" t="inlineStr">
        <is>
          <t>2271908140002656</t>
        </is>
      </c>
      <c r="BB392" t="inlineStr">
        <is>
          <t>BOOK</t>
        </is>
      </c>
      <c r="BE392" t="inlineStr">
        <is>
          <t>32285002515574</t>
        </is>
      </c>
      <c r="BF392" t="inlineStr">
        <is>
          <t>893324646</t>
        </is>
      </c>
    </row>
    <row r="393">
      <c r="A393" t="inlineStr">
        <is>
          <t>No</t>
        </is>
      </c>
      <c r="B393" t="inlineStr">
        <is>
          <t>CURAL</t>
        </is>
      </c>
      <c r="C393" t="inlineStr">
        <is>
          <t>SHELVES</t>
        </is>
      </c>
      <c r="D393" t="inlineStr">
        <is>
          <t>PQ6032 .A45</t>
        </is>
      </c>
      <c r="E393" t="inlineStr">
        <is>
          <t>0                      PQ 6032000A  45</t>
        </is>
      </c>
      <c r="F393" t="inlineStr">
        <is>
          <t>Historia de la literatura española / Juan Luis Alborg.</t>
        </is>
      </c>
      <c r="G393" t="inlineStr">
        <is>
          <t>V. 3</t>
        </is>
      </c>
      <c r="H393" t="inlineStr">
        <is>
          <t>Yes</t>
        </is>
      </c>
      <c r="I393" t="inlineStr">
        <is>
          <t>1</t>
        </is>
      </c>
      <c r="J393" t="inlineStr">
        <is>
          <t>No</t>
        </is>
      </c>
      <c r="K393" t="inlineStr">
        <is>
          <t>No</t>
        </is>
      </c>
      <c r="L393" t="inlineStr">
        <is>
          <t>0</t>
        </is>
      </c>
      <c r="M393" t="inlineStr">
        <is>
          <t>Alborg, Juan Luis.</t>
        </is>
      </c>
      <c r="N393" t="inlineStr">
        <is>
          <t>Madrid : Editorial Gredos, c1977-1980.</t>
        </is>
      </c>
      <c r="O393" t="inlineStr">
        <is>
          <t>1977</t>
        </is>
      </c>
      <c r="P393" t="inlineStr">
        <is>
          <t>2.a ed., ampliada, 4.a réimpr.</t>
        </is>
      </c>
      <c r="Q393" t="inlineStr">
        <is>
          <t>spa</t>
        </is>
      </c>
      <c r="R393" t="inlineStr">
        <is>
          <t xml:space="preserve">sp </t>
        </is>
      </c>
      <c r="T393" t="inlineStr">
        <is>
          <t xml:space="preserve">PQ </t>
        </is>
      </c>
      <c r="U393" t="n">
        <v>0</v>
      </c>
      <c r="V393" t="n">
        <v>8</v>
      </c>
      <c r="X393" t="inlineStr">
        <is>
          <t>2001-09-27</t>
        </is>
      </c>
      <c r="Y393" t="inlineStr">
        <is>
          <t>1991-04-29</t>
        </is>
      </c>
      <c r="Z393" t="inlineStr">
        <is>
          <t>1991-05-06</t>
        </is>
      </c>
      <c r="AA393" t="n">
        <v>37</v>
      </c>
      <c r="AB393" t="n">
        <v>34</v>
      </c>
      <c r="AC393" t="n">
        <v>407</v>
      </c>
      <c r="AD393" t="n">
        <v>1</v>
      </c>
      <c r="AE393" t="n">
        <v>3</v>
      </c>
      <c r="AF393" t="n">
        <v>2</v>
      </c>
      <c r="AG393" t="n">
        <v>23</v>
      </c>
      <c r="AH393" t="n">
        <v>1</v>
      </c>
      <c r="AI393" t="n">
        <v>7</v>
      </c>
      <c r="AJ393" t="n">
        <v>0</v>
      </c>
      <c r="AK393" t="n">
        <v>8</v>
      </c>
      <c r="AL393" t="n">
        <v>1</v>
      </c>
      <c r="AM393" t="n">
        <v>11</v>
      </c>
      <c r="AN393" t="n">
        <v>0</v>
      </c>
      <c r="AO393" t="n">
        <v>2</v>
      </c>
      <c r="AP393" t="n">
        <v>0</v>
      </c>
      <c r="AQ393" t="n">
        <v>0</v>
      </c>
      <c r="AR393" t="inlineStr">
        <is>
          <t>No</t>
        </is>
      </c>
      <c r="AS393" t="inlineStr">
        <is>
          <t>No</t>
        </is>
      </c>
      <c r="AU393">
        <f>HYPERLINK("https://creighton-primo.hosted.exlibrisgroup.com/primo-explore/search?tab=default_tab&amp;search_scope=EVERYTHING&amp;vid=01CRU&amp;lang=en_US&amp;offset=0&amp;query=any,contains,991005101939702656","Catalog Record")</f>
        <v/>
      </c>
      <c r="AV393">
        <f>HYPERLINK("http://www.worldcat.org/oclc/7294877","WorldCat Record")</f>
        <v/>
      </c>
      <c r="AW393" t="inlineStr">
        <is>
          <t>1457178:spa</t>
        </is>
      </c>
      <c r="AX393" t="inlineStr">
        <is>
          <t>7294877</t>
        </is>
      </c>
      <c r="AY393" t="inlineStr">
        <is>
          <t>991005101939702656</t>
        </is>
      </c>
      <c r="AZ393" t="inlineStr">
        <is>
          <t>991005101939702656</t>
        </is>
      </c>
      <c r="BA393" t="inlineStr">
        <is>
          <t>2258118850002656</t>
        </is>
      </c>
      <c r="BB393" t="inlineStr">
        <is>
          <t>BOOK</t>
        </is>
      </c>
      <c r="BD393" t="inlineStr">
        <is>
          <t>9788424931261</t>
        </is>
      </c>
      <c r="BE393" t="inlineStr">
        <is>
          <t>32285000586346</t>
        </is>
      </c>
      <c r="BF393" t="inlineStr">
        <is>
          <t>893344644</t>
        </is>
      </c>
    </row>
    <row r="394">
      <c r="A394" t="inlineStr">
        <is>
          <t>No</t>
        </is>
      </c>
      <c r="B394" t="inlineStr">
        <is>
          <t>CURAL</t>
        </is>
      </c>
      <c r="C394" t="inlineStr">
        <is>
          <t>SHELVES</t>
        </is>
      </c>
      <c r="D394" t="inlineStr">
        <is>
          <t>PQ6032 .A45</t>
        </is>
      </c>
      <c r="E394" t="inlineStr">
        <is>
          <t>0                      PQ 6032000A  45</t>
        </is>
      </c>
      <c r="F394" t="inlineStr">
        <is>
          <t>Historia de la literatura española / Juan Luis Alborg.</t>
        </is>
      </c>
      <c r="G394" t="inlineStr">
        <is>
          <t>V. 2</t>
        </is>
      </c>
      <c r="H394" t="inlineStr">
        <is>
          <t>Yes</t>
        </is>
      </c>
      <c r="I394" t="inlineStr">
        <is>
          <t>1</t>
        </is>
      </c>
      <c r="J394" t="inlineStr">
        <is>
          <t>No</t>
        </is>
      </c>
      <c r="K394" t="inlineStr">
        <is>
          <t>No</t>
        </is>
      </c>
      <c r="L394" t="inlineStr">
        <is>
          <t>0</t>
        </is>
      </c>
      <c r="M394" t="inlineStr">
        <is>
          <t>Alborg, Juan Luis.</t>
        </is>
      </c>
      <c r="N394" t="inlineStr">
        <is>
          <t>Madrid : Editorial Gredos, c1977-1980.</t>
        </is>
      </c>
      <c r="O394" t="inlineStr">
        <is>
          <t>1977</t>
        </is>
      </c>
      <c r="P394" t="inlineStr">
        <is>
          <t>2.a ed., ampliada, 4.a réimpr.</t>
        </is>
      </c>
      <c r="Q394" t="inlineStr">
        <is>
          <t>spa</t>
        </is>
      </c>
      <c r="R394" t="inlineStr">
        <is>
          <t xml:space="preserve">sp </t>
        </is>
      </c>
      <c r="T394" t="inlineStr">
        <is>
          <t xml:space="preserve">PQ </t>
        </is>
      </c>
      <c r="U394" t="n">
        <v>0</v>
      </c>
      <c r="V394" t="n">
        <v>8</v>
      </c>
      <c r="X394" t="inlineStr">
        <is>
          <t>2001-09-27</t>
        </is>
      </c>
      <c r="Y394" t="inlineStr">
        <is>
          <t>1991-04-29</t>
        </is>
      </c>
      <c r="Z394" t="inlineStr">
        <is>
          <t>1991-05-06</t>
        </is>
      </c>
      <c r="AA394" t="n">
        <v>37</v>
      </c>
      <c r="AB394" t="n">
        <v>34</v>
      </c>
      <c r="AC394" t="n">
        <v>407</v>
      </c>
      <c r="AD394" t="n">
        <v>1</v>
      </c>
      <c r="AE394" t="n">
        <v>3</v>
      </c>
      <c r="AF394" t="n">
        <v>2</v>
      </c>
      <c r="AG394" t="n">
        <v>23</v>
      </c>
      <c r="AH394" t="n">
        <v>1</v>
      </c>
      <c r="AI394" t="n">
        <v>7</v>
      </c>
      <c r="AJ394" t="n">
        <v>0</v>
      </c>
      <c r="AK394" t="n">
        <v>8</v>
      </c>
      <c r="AL394" t="n">
        <v>1</v>
      </c>
      <c r="AM394" t="n">
        <v>11</v>
      </c>
      <c r="AN394" t="n">
        <v>0</v>
      </c>
      <c r="AO394" t="n">
        <v>2</v>
      </c>
      <c r="AP394" t="n">
        <v>0</v>
      </c>
      <c r="AQ394" t="n">
        <v>0</v>
      </c>
      <c r="AR394" t="inlineStr">
        <is>
          <t>No</t>
        </is>
      </c>
      <c r="AS394" t="inlineStr">
        <is>
          <t>No</t>
        </is>
      </c>
      <c r="AU394">
        <f>HYPERLINK("https://creighton-primo.hosted.exlibrisgroup.com/primo-explore/search?tab=default_tab&amp;search_scope=EVERYTHING&amp;vid=01CRU&amp;lang=en_US&amp;offset=0&amp;query=any,contains,991005101939702656","Catalog Record")</f>
        <v/>
      </c>
      <c r="AV394">
        <f>HYPERLINK("http://www.worldcat.org/oclc/7294877","WorldCat Record")</f>
        <v/>
      </c>
      <c r="AW394" t="inlineStr">
        <is>
          <t>1457178:spa</t>
        </is>
      </c>
      <c r="AX394" t="inlineStr">
        <is>
          <t>7294877</t>
        </is>
      </c>
      <c r="AY394" t="inlineStr">
        <is>
          <t>991005101939702656</t>
        </is>
      </c>
      <c r="AZ394" t="inlineStr">
        <is>
          <t>991005101939702656</t>
        </is>
      </c>
      <c r="BA394" t="inlineStr">
        <is>
          <t>2258118850002656</t>
        </is>
      </c>
      <c r="BB394" t="inlineStr">
        <is>
          <t>BOOK</t>
        </is>
      </c>
      <c r="BD394" t="inlineStr">
        <is>
          <t>9788424931261</t>
        </is>
      </c>
      <c r="BE394" t="inlineStr">
        <is>
          <t>32285000586338</t>
        </is>
      </c>
      <c r="BF394" t="inlineStr">
        <is>
          <t>893326164</t>
        </is>
      </c>
    </row>
    <row r="395">
      <c r="A395" t="inlineStr">
        <is>
          <t>No</t>
        </is>
      </c>
      <c r="B395" t="inlineStr">
        <is>
          <t>CURAL</t>
        </is>
      </c>
      <c r="C395" t="inlineStr">
        <is>
          <t>SHELVES</t>
        </is>
      </c>
      <c r="D395" t="inlineStr">
        <is>
          <t>PQ6032 .A45</t>
        </is>
      </c>
      <c r="E395" t="inlineStr">
        <is>
          <t>0                      PQ 6032000A  45</t>
        </is>
      </c>
      <c r="F395" t="inlineStr">
        <is>
          <t>Historia de la literatura española / Juan Luis Alborg.</t>
        </is>
      </c>
      <c r="G395" t="inlineStr">
        <is>
          <t>V. 4</t>
        </is>
      </c>
      <c r="H395" t="inlineStr">
        <is>
          <t>Yes</t>
        </is>
      </c>
      <c r="I395" t="inlineStr">
        <is>
          <t>1</t>
        </is>
      </c>
      <c r="J395" t="inlineStr">
        <is>
          <t>No</t>
        </is>
      </c>
      <c r="K395" t="inlineStr">
        <is>
          <t>No</t>
        </is>
      </c>
      <c r="L395" t="inlineStr">
        <is>
          <t>0</t>
        </is>
      </c>
      <c r="M395" t="inlineStr">
        <is>
          <t>Alborg, Juan Luis.</t>
        </is>
      </c>
      <c r="N395" t="inlineStr">
        <is>
          <t>Madrid : Editorial Gredos, c1977-1980.</t>
        </is>
      </c>
      <c r="O395" t="inlineStr">
        <is>
          <t>1977</t>
        </is>
      </c>
      <c r="P395" t="inlineStr">
        <is>
          <t>2.a ed., ampliada, 4.a réimpr.</t>
        </is>
      </c>
      <c r="Q395" t="inlineStr">
        <is>
          <t>spa</t>
        </is>
      </c>
      <c r="R395" t="inlineStr">
        <is>
          <t xml:space="preserve">sp </t>
        </is>
      </c>
      <c r="T395" t="inlineStr">
        <is>
          <t xml:space="preserve">PQ </t>
        </is>
      </c>
      <c r="U395" t="n">
        <v>5</v>
      </c>
      <c r="V395" t="n">
        <v>8</v>
      </c>
      <c r="W395" t="inlineStr">
        <is>
          <t>1996-11-14</t>
        </is>
      </c>
      <c r="X395" t="inlineStr">
        <is>
          <t>2001-09-27</t>
        </is>
      </c>
      <c r="Y395" t="inlineStr">
        <is>
          <t>1991-04-29</t>
        </is>
      </c>
      <c r="Z395" t="inlineStr">
        <is>
          <t>1991-05-06</t>
        </is>
      </c>
      <c r="AA395" t="n">
        <v>37</v>
      </c>
      <c r="AB395" t="n">
        <v>34</v>
      </c>
      <c r="AC395" t="n">
        <v>407</v>
      </c>
      <c r="AD395" t="n">
        <v>1</v>
      </c>
      <c r="AE395" t="n">
        <v>3</v>
      </c>
      <c r="AF395" t="n">
        <v>2</v>
      </c>
      <c r="AG395" t="n">
        <v>23</v>
      </c>
      <c r="AH395" t="n">
        <v>1</v>
      </c>
      <c r="AI395" t="n">
        <v>7</v>
      </c>
      <c r="AJ395" t="n">
        <v>0</v>
      </c>
      <c r="AK395" t="n">
        <v>8</v>
      </c>
      <c r="AL395" t="n">
        <v>1</v>
      </c>
      <c r="AM395" t="n">
        <v>11</v>
      </c>
      <c r="AN395" t="n">
        <v>0</v>
      </c>
      <c r="AO395" t="n">
        <v>2</v>
      </c>
      <c r="AP395" t="n">
        <v>0</v>
      </c>
      <c r="AQ395" t="n">
        <v>0</v>
      </c>
      <c r="AR395" t="inlineStr">
        <is>
          <t>No</t>
        </is>
      </c>
      <c r="AS395" t="inlineStr">
        <is>
          <t>No</t>
        </is>
      </c>
      <c r="AU395">
        <f>HYPERLINK("https://creighton-primo.hosted.exlibrisgroup.com/primo-explore/search?tab=default_tab&amp;search_scope=EVERYTHING&amp;vid=01CRU&amp;lang=en_US&amp;offset=0&amp;query=any,contains,991005101939702656","Catalog Record")</f>
        <v/>
      </c>
      <c r="AV395">
        <f>HYPERLINK("http://www.worldcat.org/oclc/7294877","WorldCat Record")</f>
        <v/>
      </c>
      <c r="AW395" t="inlineStr">
        <is>
          <t>1457178:spa</t>
        </is>
      </c>
      <c r="AX395" t="inlineStr">
        <is>
          <t>7294877</t>
        </is>
      </c>
      <c r="AY395" t="inlineStr">
        <is>
          <t>991005101939702656</t>
        </is>
      </c>
      <c r="AZ395" t="inlineStr">
        <is>
          <t>991005101939702656</t>
        </is>
      </c>
      <c r="BA395" t="inlineStr">
        <is>
          <t>2258118850002656</t>
        </is>
      </c>
      <c r="BB395" t="inlineStr">
        <is>
          <t>BOOK</t>
        </is>
      </c>
      <c r="BD395" t="inlineStr">
        <is>
          <t>9788424931261</t>
        </is>
      </c>
      <c r="BE395" t="inlineStr">
        <is>
          <t>32285000586353</t>
        </is>
      </c>
      <c r="BF395" t="inlineStr">
        <is>
          <t>893350713</t>
        </is>
      </c>
    </row>
    <row r="396">
      <c r="A396" t="inlineStr">
        <is>
          <t>No</t>
        </is>
      </c>
      <c r="B396" t="inlineStr">
        <is>
          <t>CURAL</t>
        </is>
      </c>
      <c r="C396" t="inlineStr">
        <is>
          <t>SHELVES</t>
        </is>
      </c>
      <c r="D396" t="inlineStr">
        <is>
          <t>PQ6032 .A45</t>
        </is>
      </c>
      <c r="E396" t="inlineStr">
        <is>
          <t>0                      PQ 6032000A  45</t>
        </is>
      </c>
      <c r="F396" t="inlineStr">
        <is>
          <t>Historia de la literatura española / Juan Luis Alborg.</t>
        </is>
      </c>
      <c r="G396" t="inlineStr">
        <is>
          <t>V. 1</t>
        </is>
      </c>
      <c r="H396" t="inlineStr">
        <is>
          <t>Yes</t>
        </is>
      </c>
      <c r="I396" t="inlineStr">
        <is>
          <t>1</t>
        </is>
      </c>
      <c r="J396" t="inlineStr">
        <is>
          <t>No</t>
        </is>
      </c>
      <c r="K396" t="inlineStr">
        <is>
          <t>No</t>
        </is>
      </c>
      <c r="L396" t="inlineStr">
        <is>
          <t>0</t>
        </is>
      </c>
      <c r="M396" t="inlineStr">
        <is>
          <t>Alborg, Juan Luis.</t>
        </is>
      </c>
      <c r="N396" t="inlineStr">
        <is>
          <t>Madrid : Editorial Gredos, c1977-1980.</t>
        </is>
      </c>
      <c r="O396" t="inlineStr">
        <is>
          <t>1977</t>
        </is>
      </c>
      <c r="P396" t="inlineStr">
        <is>
          <t>2.a ed., ampliada, 4.a réimpr.</t>
        </is>
      </c>
      <c r="Q396" t="inlineStr">
        <is>
          <t>spa</t>
        </is>
      </c>
      <c r="R396" t="inlineStr">
        <is>
          <t xml:space="preserve">sp </t>
        </is>
      </c>
      <c r="T396" t="inlineStr">
        <is>
          <t xml:space="preserve">PQ </t>
        </is>
      </c>
      <c r="U396" t="n">
        <v>3</v>
      </c>
      <c r="V396" t="n">
        <v>8</v>
      </c>
      <c r="W396" t="inlineStr">
        <is>
          <t>2001-09-27</t>
        </is>
      </c>
      <c r="X396" t="inlineStr">
        <is>
          <t>2001-09-27</t>
        </is>
      </c>
      <c r="Y396" t="inlineStr">
        <is>
          <t>1991-05-06</t>
        </is>
      </c>
      <c r="Z396" t="inlineStr">
        <is>
          <t>1991-05-06</t>
        </is>
      </c>
      <c r="AA396" t="n">
        <v>37</v>
      </c>
      <c r="AB396" t="n">
        <v>34</v>
      </c>
      <c r="AC396" t="n">
        <v>407</v>
      </c>
      <c r="AD396" t="n">
        <v>1</v>
      </c>
      <c r="AE396" t="n">
        <v>3</v>
      </c>
      <c r="AF396" t="n">
        <v>2</v>
      </c>
      <c r="AG396" t="n">
        <v>23</v>
      </c>
      <c r="AH396" t="n">
        <v>1</v>
      </c>
      <c r="AI396" t="n">
        <v>7</v>
      </c>
      <c r="AJ396" t="n">
        <v>0</v>
      </c>
      <c r="AK396" t="n">
        <v>8</v>
      </c>
      <c r="AL396" t="n">
        <v>1</v>
      </c>
      <c r="AM396" t="n">
        <v>11</v>
      </c>
      <c r="AN396" t="n">
        <v>0</v>
      </c>
      <c r="AO396" t="n">
        <v>2</v>
      </c>
      <c r="AP396" t="n">
        <v>0</v>
      </c>
      <c r="AQ396" t="n">
        <v>0</v>
      </c>
      <c r="AR396" t="inlineStr">
        <is>
          <t>No</t>
        </is>
      </c>
      <c r="AS396" t="inlineStr">
        <is>
          <t>No</t>
        </is>
      </c>
      <c r="AU396">
        <f>HYPERLINK("https://creighton-primo.hosted.exlibrisgroup.com/primo-explore/search?tab=default_tab&amp;search_scope=EVERYTHING&amp;vid=01CRU&amp;lang=en_US&amp;offset=0&amp;query=any,contains,991005101939702656","Catalog Record")</f>
        <v/>
      </c>
      <c r="AV396">
        <f>HYPERLINK("http://www.worldcat.org/oclc/7294877","WorldCat Record")</f>
        <v/>
      </c>
      <c r="AW396" t="inlineStr">
        <is>
          <t>1457178:spa</t>
        </is>
      </c>
      <c r="AX396" t="inlineStr">
        <is>
          <t>7294877</t>
        </is>
      </c>
      <c r="AY396" t="inlineStr">
        <is>
          <t>991005101939702656</t>
        </is>
      </c>
      <c r="AZ396" t="inlineStr">
        <is>
          <t>991005101939702656</t>
        </is>
      </c>
      <c r="BA396" t="inlineStr">
        <is>
          <t>2258118850002656</t>
        </is>
      </c>
      <c r="BB396" t="inlineStr">
        <is>
          <t>BOOK</t>
        </is>
      </c>
      <c r="BD396" t="inlineStr">
        <is>
          <t>9788424931261</t>
        </is>
      </c>
      <c r="BE396" t="inlineStr">
        <is>
          <t>32285000573096</t>
        </is>
      </c>
      <c r="BF396" t="inlineStr">
        <is>
          <t>893344645</t>
        </is>
      </c>
    </row>
    <row r="397">
      <c r="A397" t="inlineStr">
        <is>
          <t>No</t>
        </is>
      </c>
      <c r="B397" t="inlineStr">
        <is>
          <t>CURAL</t>
        </is>
      </c>
      <c r="C397" t="inlineStr">
        <is>
          <t>SHELVES</t>
        </is>
      </c>
      <c r="D397" t="inlineStr">
        <is>
          <t>PQ6032 .C6 1973</t>
        </is>
      </c>
      <c r="E397" t="inlineStr">
        <is>
          <t>0                      PQ 6032000C  6           1973</t>
        </is>
      </c>
      <c r="F397" t="inlineStr">
        <is>
          <t>El Comentario de textos / [por] Emilio Alarcos ... [et al.]</t>
        </is>
      </c>
      <c r="H397" t="inlineStr">
        <is>
          <t>No</t>
        </is>
      </c>
      <c r="I397" t="inlineStr">
        <is>
          <t>1</t>
        </is>
      </c>
      <c r="J397" t="inlineStr">
        <is>
          <t>No</t>
        </is>
      </c>
      <c r="K397" t="inlineStr">
        <is>
          <t>No</t>
        </is>
      </c>
      <c r="L397" t="inlineStr">
        <is>
          <t>0</t>
        </is>
      </c>
      <c r="N397" t="inlineStr">
        <is>
          <t>Madrid : Editorial Castalia, 1973.</t>
        </is>
      </c>
      <c r="O397" t="inlineStr">
        <is>
          <t>1973</t>
        </is>
      </c>
      <c r="Q397" t="inlineStr">
        <is>
          <t>spa</t>
        </is>
      </c>
      <c r="R397" t="inlineStr">
        <is>
          <t xml:space="preserve">sp </t>
        </is>
      </c>
      <c r="S397" t="inlineStr">
        <is>
          <t>Literatura y sociedad</t>
        </is>
      </c>
      <c r="T397" t="inlineStr">
        <is>
          <t xml:space="preserve">PQ </t>
        </is>
      </c>
      <c r="U397" t="n">
        <v>1</v>
      </c>
      <c r="V397" t="n">
        <v>1</v>
      </c>
      <c r="W397" t="inlineStr">
        <is>
          <t>2005-03-23</t>
        </is>
      </c>
      <c r="X397" t="inlineStr">
        <is>
          <t>2005-03-23</t>
        </is>
      </c>
      <c r="Y397" t="inlineStr">
        <is>
          <t>2005-03-23</t>
        </is>
      </c>
      <c r="Z397" t="inlineStr">
        <is>
          <t>2005-03-23</t>
        </is>
      </c>
      <c r="AA397" t="n">
        <v>41</v>
      </c>
      <c r="AB397" t="n">
        <v>28</v>
      </c>
      <c r="AC397" t="n">
        <v>35</v>
      </c>
      <c r="AD397" t="n">
        <v>1</v>
      </c>
      <c r="AE397" t="n">
        <v>1</v>
      </c>
      <c r="AF397" t="n">
        <v>3</v>
      </c>
      <c r="AG397" t="n">
        <v>3</v>
      </c>
      <c r="AH397" t="n">
        <v>1</v>
      </c>
      <c r="AI397" t="n">
        <v>1</v>
      </c>
      <c r="AJ397" t="n">
        <v>2</v>
      </c>
      <c r="AK397" t="n">
        <v>2</v>
      </c>
      <c r="AL397" t="n">
        <v>1</v>
      </c>
      <c r="AM397" t="n">
        <v>1</v>
      </c>
      <c r="AN397" t="n">
        <v>0</v>
      </c>
      <c r="AO397" t="n">
        <v>0</v>
      </c>
      <c r="AP397" t="n">
        <v>0</v>
      </c>
      <c r="AQ397" t="n">
        <v>0</v>
      </c>
      <c r="AR397" t="inlineStr">
        <is>
          <t>No</t>
        </is>
      </c>
      <c r="AS397" t="inlineStr">
        <is>
          <t>No</t>
        </is>
      </c>
      <c r="AU397">
        <f>HYPERLINK("https://creighton-primo.hosted.exlibrisgroup.com/primo-explore/search?tab=default_tab&amp;search_scope=EVERYTHING&amp;vid=01CRU&amp;lang=en_US&amp;offset=0&amp;query=any,contains,991004509289702656","Catalog Record")</f>
        <v/>
      </c>
      <c r="AV397">
        <f>HYPERLINK("http://www.worldcat.org/oclc/718159","WorldCat Record")</f>
        <v/>
      </c>
      <c r="AW397" t="inlineStr">
        <is>
          <t>5583668614:spa</t>
        </is>
      </c>
      <c r="AX397" t="inlineStr">
        <is>
          <t>718159</t>
        </is>
      </c>
      <c r="AY397" t="inlineStr">
        <is>
          <t>991004509289702656</t>
        </is>
      </c>
      <c r="AZ397" t="inlineStr">
        <is>
          <t>991004509289702656</t>
        </is>
      </c>
      <c r="BA397" t="inlineStr">
        <is>
          <t>2256321560002656</t>
        </is>
      </c>
      <c r="BB397" t="inlineStr">
        <is>
          <t>BOOK</t>
        </is>
      </c>
      <c r="BE397" t="inlineStr">
        <is>
          <t>32285005029433</t>
        </is>
      </c>
      <c r="BF397" t="inlineStr">
        <is>
          <t>893618745</t>
        </is>
      </c>
    </row>
    <row r="398">
      <c r="A398" t="inlineStr">
        <is>
          <t>No</t>
        </is>
      </c>
      <c r="B398" t="inlineStr">
        <is>
          <t>CURAL</t>
        </is>
      </c>
      <c r="C398" t="inlineStr">
        <is>
          <t>SHELVES</t>
        </is>
      </c>
      <c r="D398" t="inlineStr">
        <is>
          <t>PQ6032 .P4 v...</t>
        </is>
      </c>
      <c r="E398" t="inlineStr">
        <is>
          <t>0                      PQ 6032000P  4                                                       v...</t>
        </is>
      </c>
      <c r="F398" t="inlineStr">
        <is>
          <t>Manual de literatura española / Felipe B. Pedraza Jiménez, Milagros Rodríguez Cáceres.</t>
        </is>
      </c>
      <c r="G398" t="inlineStr">
        <is>
          <t>V. 9</t>
        </is>
      </c>
      <c r="H398" t="inlineStr">
        <is>
          <t>Yes</t>
        </is>
      </c>
      <c r="I398" t="inlineStr">
        <is>
          <t>1</t>
        </is>
      </c>
      <c r="J398" t="inlineStr">
        <is>
          <t>No</t>
        </is>
      </c>
      <c r="K398" t="inlineStr">
        <is>
          <t>No</t>
        </is>
      </c>
      <c r="L398" t="inlineStr">
        <is>
          <t>0</t>
        </is>
      </c>
      <c r="M398" t="inlineStr">
        <is>
          <t>Pedraza Jiménez, Felipe B.</t>
        </is>
      </c>
      <c r="N398" t="inlineStr">
        <is>
          <t>Pamplona : Cénlit, 1980-</t>
        </is>
      </c>
      <c r="O398" t="inlineStr">
        <is>
          <t>1980</t>
        </is>
      </c>
      <c r="Q398" t="inlineStr">
        <is>
          <t>spa</t>
        </is>
      </c>
      <c r="R398" t="inlineStr">
        <is>
          <t xml:space="preserve">sp </t>
        </is>
      </c>
      <c r="T398" t="inlineStr">
        <is>
          <t xml:space="preserve">PQ </t>
        </is>
      </c>
      <c r="U398" t="n">
        <v>0</v>
      </c>
      <c r="V398" t="n">
        <v>13</v>
      </c>
      <c r="X398" t="inlineStr">
        <is>
          <t>2002-04-23</t>
        </is>
      </c>
      <c r="Y398" t="inlineStr">
        <is>
          <t>1992-11-17</t>
        </is>
      </c>
      <c r="Z398" t="inlineStr">
        <is>
          <t>1997-12-29</t>
        </is>
      </c>
      <c r="AA398" t="n">
        <v>323</v>
      </c>
      <c r="AB398" t="n">
        <v>284</v>
      </c>
      <c r="AC398" t="n">
        <v>298</v>
      </c>
      <c r="AD398" t="n">
        <v>2</v>
      </c>
      <c r="AE398" t="n">
        <v>2</v>
      </c>
      <c r="AF398" t="n">
        <v>20</v>
      </c>
      <c r="AG398" t="n">
        <v>21</v>
      </c>
      <c r="AH398" t="n">
        <v>7</v>
      </c>
      <c r="AI398" t="n">
        <v>7</v>
      </c>
      <c r="AJ398" t="n">
        <v>8</v>
      </c>
      <c r="AK398" t="n">
        <v>9</v>
      </c>
      <c r="AL398" t="n">
        <v>12</v>
      </c>
      <c r="AM398" t="n">
        <v>13</v>
      </c>
      <c r="AN398" t="n">
        <v>1</v>
      </c>
      <c r="AO398" t="n">
        <v>1</v>
      </c>
      <c r="AP398" t="n">
        <v>0</v>
      </c>
      <c r="AQ398" t="n">
        <v>0</v>
      </c>
      <c r="AR398" t="inlineStr">
        <is>
          <t>No</t>
        </is>
      </c>
      <c r="AS398" t="inlineStr">
        <is>
          <t>Yes</t>
        </is>
      </c>
      <c r="AT398">
        <f>HYPERLINK("http://catalog.hathitrust.org/Record/000150396","HathiTrust Record")</f>
        <v/>
      </c>
      <c r="AU398">
        <f>HYPERLINK("https://creighton-primo.hosted.exlibrisgroup.com/primo-explore/search?tab=default_tab&amp;search_scope=EVERYTHING&amp;vid=01CRU&amp;lang=en_US&amp;offset=0&amp;query=any,contains,991005204689702656","Catalog Record")</f>
        <v/>
      </c>
      <c r="AV398">
        <f>HYPERLINK("http://www.worldcat.org/oclc/8112114","WorldCat Record")</f>
        <v/>
      </c>
      <c r="AW398" t="inlineStr">
        <is>
          <t>4926464397:spa</t>
        </is>
      </c>
      <c r="AX398" t="inlineStr">
        <is>
          <t>8112114</t>
        </is>
      </c>
      <c r="AY398" t="inlineStr">
        <is>
          <t>991005204689702656</t>
        </is>
      </c>
      <c r="AZ398" t="inlineStr">
        <is>
          <t>991005204689702656</t>
        </is>
      </c>
      <c r="BA398" t="inlineStr">
        <is>
          <t>2256994580002656</t>
        </is>
      </c>
      <c r="BB398" t="inlineStr">
        <is>
          <t>BOOK</t>
        </is>
      </c>
      <c r="BD398" t="inlineStr">
        <is>
          <t>9788485511044</t>
        </is>
      </c>
      <c r="BE398" t="inlineStr">
        <is>
          <t>32285001363653</t>
        </is>
      </c>
      <c r="BF398" t="inlineStr">
        <is>
          <t>893514227</t>
        </is>
      </c>
    </row>
    <row r="399">
      <c r="A399" t="inlineStr">
        <is>
          <t>No</t>
        </is>
      </c>
      <c r="B399" t="inlineStr">
        <is>
          <t>CURAL</t>
        </is>
      </c>
      <c r="C399" t="inlineStr">
        <is>
          <t>SHELVES</t>
        </is>
      </c>
      <c r="D399" t="inlineStr">
        <is>
          <t>PQ6032 .P4 v...</t>
        </is>
      </c>
      <c r="E399" t="inlineStr">
        <is>
          <t>0                      PQ 6032000P  4                                                       v...</t>
        </is>
      </c>
      <c r="F399" t="inlineStr">
        <is>
          <t>Manual de literatura española / Felipe B. Pedraza Jiménez, Milagros Rodríguez Cáceres.</t>
        </is>
      </c>
      <c r="G399" t="inlineStr">
        <is>
          <t>V. 14</t>
        </is>
      </c>
      <c r="H399" t="inlineStr">
        <is>
          <t>Yes</t>
        </is>
      </c>
      <c r="I399" t="inlineStr">
        <is>
          <t>1</t>
        </is>
      </c>
      <c r="J399" t="inlineStr">
        <is>
          <t>No</t>
        </is>
      </c>
      <c r="K399" t="inlineStr">
        <is>
          <t>No</t>
        </is>
      </c>
      <c r="L399" t="inlineStr">
        <is>
          <t>0</t>
        </is>
      </c>
      <c r="M399" t="inlineStr">
        <is>
          <t>Pedraza Jiménez, Felipe B.</t>
        </is>
      </c>
      <c r="N399" t="inlineStr">
        <is>
          <t>Pamplona : Cénlit, 1980-</t>
        </is>
      </c>
      <c r="O399" t="inlineStr">
        <is>
          <t>1980</t>
        </is>
      </c>
      <c r="Q399" t="inlineStr">
        <is>
          <t>spa</t>
        </is>
      </c>
      <c r="R399" t="inlineStr">
        <is>
          <t xml:space="preserve">sp </t>
        </is>
      </c>
      <c r="T399" t="inlineStr">
        <is>
          <t xml:space="preserve">PQ </t>
        </is>
      </c>
      <c r="U399" t="n">
        <v>0</v>
      </c>
      <c r="V399" t="n">
        <v>13</v>
      </c>
      <c r="X399" t="inlineStr">
        <is>
          <t>2002-04-23</t>
        </is>
      </c>
      <c r="Y399" t="inlineStr">
        <is>
          <t>1997-12-29</t>
        </is>
      </c>
      <c r="Z399" t="inlineStr">
        <is>
          <t>1997-12-29</t>
        </is>
      </c>
      <c r="AA399" t="n">
        <v>323</v>
      </c>
      <c r="AB399" t="n">
        <v>284</v>
      </c>
      <c r="AC399" t="n">
        <v>298</v>
      </c>
      <c r="AD399" t="n">
        <v>2</v>
      </c>
      <c r="AE399" t="n">
        <v>2</v>
      </c>
      <c r="AF399" t="n">
        <v>20</v>
      </c>
      <c r="AG399" t="n">
        <v>21</v>
      </c>
      <c r="AH399" t="n">
        <v>7</v>
      </c>
      <c r="AI399" t="n">
        <v>7</v>
      </c>
      <c r="AJ399" t="n">
        <v>8</v>
      </c>
      <c r="AK399" t="n">
        <v>9</v>
      </c>
      <c r="AL399" t="n">
        <v>12</v>
      </c>
      <c r="AM399" t="n">
        <v>13</v>
      </c>
      <c r="AN399" t="n">
        <v>1</v>
      </c>
      <c r="AO399" t="n">
        <v>1</v>
      </c>
      <c r="AP399" t="n">
        <v>0</v>
      </c>
      <c r="AQ399" t="n">
        <v>0</v>
      </c>
      <c r="AR399" t="inlineStr">
        <is>
          <t>No</t>
        </is>
      </c>
      <c r="AS399" t="inlineStr">
        <is>
          <t>Yes</t>
        </is>
      </c>
      <c r="AT399">
        <f>HYPERLINK("http://catalog.hathitrust.org/Record/000150396","HathiTrust Record")</f>
        <v/>
      </c>
      <c r="AU399">
        <f>HYPERLINK("https://creighton-primo.hosted.exlibrisgroup.com/primo-explore/search?tab=default_tab&amp;search_scope=EVERYTHING&amp;vid=01CRU&amp;lang=en_US&amp;offset=0&amp;query=any,contains,991005204689702656","Catalog Record")</f>
        <v/>
      </c>
      <c r="AV399">
        <f>HYPERLINK("http://www.worldcat.org/oclc/8112114","WorldCat Record")</f>
        <v/>
      </c>
      <c r="AW399" t="inlineStr">
        <is>
          <t>4926464397:spa</t>
        </is>
      </c>
      <c r="AX399" t="inlineStr">
        <is>
          <t>8112114</t>
        </is>
      </c>
      <c r="AY399" t="inlineStr">
        <is>
          <t>991005204689702656</t>
        </is>
      </c>
      <c r="AZ399" t="inlineStr">
        <is>
          <t>991005204689702656</t>
        </is>
      </c>
      <c r="BA399" t="inlineStr">
        <is>
          <t>2256994580002656</t>
        </is>
      </c>
      <c r="BB399" t="inlineStr">
        <is>
          <t>BOOK</t>
        </is>
      </c>
      <c r="BD399" t="inlineStr">
        <is>
          <t>9788485511044</t>
        </is>
      </c>
      <c r="BE399" t="inlineStr">
        <is>
          <t>32285003300109</t>
        </is>
      </c>
      <c r="BF399" t="inlineStr">
        <is>
          <t>893527099</t>
        </is>
      </c>
    </row>
    <row r="400">
      <c r="A400" t="inlineStr">
        <is>
          <t>No</t>
        </is>
      </c>
      <c r="B400" t="inlineStr">
        <is>
          <t>CURAL</t>
        </is>
      </c>
      <c r="C400" t="inlineStr">
        <is>
          <t>SHELVES</t>
        </is>
      </c>
      <c r="D400" t="inlineStr">
        <is>
          <t>PQ6032 .P4 v...</t>
        </is>
      </c>
      <c r="E400" t="inlineStr">
        <is>
          <t>0                      PQ 6032000P  4                                                       v...</t>
        </is>
      </c>
      <c r="F400" t="inlineStr">
        <is>
          <t>Manual de literatura española / Felipe B. Pedraza Jiménez, Milagros Rodríguez Cáceres.</t>
        </is>
      </c>
      <c r="G400" t="inlineStr">
        <is>
          <t>V. 6</t>
        </is>
      </c>
      <c r="H400" t="inlineStr">
        <is>
          <t>Yes</t>
        </is>
      </c>
      <c r="I400" t="inlineStr">
        <is>
          <t>1</t>
        </is>
      </c>
      <c r="J400" t="inlineStr">
        <is>
          <t>No</t>
        </is>
      </c>
      <c r="K400" t="inlineStr">
        <is>
          <t>No</t>
        </is>
      </c>
      <c r="L400" t="inlineStr">
        <is>
          <t>0</t>
        </is>
      </c>
      <c r="M400" t="inlineStr">
        <is>
          <t>Pedraza Jiménez, Felipe B.</t>
        </is>
      </c>
      <c r="N400" t="inlineStr">
        <is>
          <t>Pamplona : Cénlit, 1980-</t>
        </is>
      </c>
      <c r="O400" t="inlineStr">
        <is>
          <t>1980</t>
        </is>
      </c>
      <c r="Q400" t="inlineStr">
        <is>
          <t>spa</t>
        </is>
      </c>
      <c r="R400" t="inlineStr">
        <is>
          <t xml:space="preserve">sp </t>
        </is>
      </c>
      <c r="T400" t="inlineStr">
        <is>
          <t xml:space="preserve">PQ </t>
        </is>
      </c>
      <c r="U400" t="n">
        <v>1</v>
      </c>
      <c r="V400" t="n">
        <v>13</v>
      </c>
      <c r="W400" t="inlineStr">
        <is>
          <t>2001-12-01</t>
        </is>
      </c>
      <c r="X400" t="inlineStr">
        <is>
          <t>2002-04-23</t>
        </is>
      </c>
      <c r="Y400" t="inlineStr">
        <is>
          <t>1992-11-17</t>
        </is>
      </c>
      <c r="Z400" t="inlineStr">
        <is>
          <t>1997-12-29</t>
        </is>
      </c>
      <c r="AA400" t="n">
        <v>323</v>
      </c>
      <c r="AB400" t="n">
        <v>284</v>
      </c>
      <c r="AC400" t="n">
        <v>298</v>
      </c>
      <c r="AD400" t="n">
        <v>2</v>
      </c>
      <c r="AE400" t="n">
        <v>2</v>
      </c>
      <c r="AF400" t="n">
        <v>20</v>
      </c>
      <c r="AG400" t="n">
        <v>21</v>
      </c>
      <c r="AH400" t="n">
        <v>7</v>
      </c>
      <c r="AI400" t="n">
        <v>7</v>
      </c>
      <c r="AJ400" t="n">
        <v>8</v>
      </c>
      <c r="AK400" t="n">
        <v>9</v>
      </c>
      <c r="AL400" t="n">
        <v>12</v>
      </c>
      <c r="AM400" t="n">
        <v>13</v>
      </c>
      <c r="AN400" t="n">
        <v>1</v>
      </c>
      <c r="AO400" t="n">
        <v>1</v>
      </c>
      <c r="AP400" t="n">
        <v>0</v>
      </c>
      <c r="AQ400" t="n">
        <v>0</v>
      </c>
      <c r="AR400" t="inlineStr">
        <is>
          <t>No</t>
        </is>
      </c>
      <c r="AS400" t="inlineStr">
        <is>
          <t>Yes</t>
        </is>
      </c>
      <c r="AT400">
        <f>HYPERLINK("http://catalog.hathitrust.org/Record/000150396","HathiTrust Record")</f>
        <v/>
      </c>
      <c r="AU400">
        <f>HYPERLINK("https://creighton-primo.hosted.exlibrisgroup.com/primo-explore/search?tab=default_tab&amp;search_scope=EVERYTHING&amp;vid=01CRU&amp;lang=en_US&amp;offset=0&amp;query=any,contains,991005204689702656","Catalog Record")</f>
        <v/>
      </c>
      <c r="AV400">
        <f>HYPERLINK("http://www.worldcat.org/oclc/8112114","WorldCat Record")</f>
        <v/>
      </c>
      <c r="AW400" t="inlineStr">
        <is>
          <t>4926464397:spa</t>
        </is>
      </c>
      <c r="AX400" t="inlineStr">
        <is>
          <t>8112114</t>
        </is>
      </c>
      <c r="AY400" t="inlineStr">
        <is>
          <t>991005204689702656</t>
        </is>
      </c>
      <c r="AZ400" t="inlineStr">
        <is>
          <t>991005204689702656</t>
        </is>
      </c>
      <c r="BA400" t="inlineStr">
        <is>
          <t>2256994580002656</t>
        </is>
      </c>
      <c r="BB400" t="inlineStr">
        <is>
          <t>BOOK</t>
        </is>
      </c>
      <c r="BD400" t="inlineStr">
        <is>
          <t>9788485511044</t>
        </is>
      </c>
      <c r="BE400" t="inlineStr">
        <is>
          <t>32285001363620</t>
        </is>
      </c>
      <c r="BF400" t="inlineStr">
        <is>
          <t>893527096</t>
        </is>
      </c>
    </row>
    <row r="401">
      <c r="A401" t="inlineStr">
        <is>
          <t>No</t>
        </is>
      </c>
      <c r="B401" t="inlineStr">
        <is>
          <t>CURAL</t>
        </is>
      </c>
      <c r="C401" t="inlineStr">
        <is>
          <t>SHELVES</t>
        </is>
      </c>
      <c r="D401" t="inlineStr">
        <is>
          <t>PQ6032 .P4 v...</t>
        </is>
      </c>
      <c r="E401" t="inlineStr">
        <is>
          <t>0                      PQ 6032000P  4                                                       v...</t>
        </is>
      </c>
      <c r="F401" t="inlineStr">
        <is>
          <t>Manual de literatura española / Felipe B. Pedraza Jiménez, Milagros Rodríguez Cáceres.</t>
        </is>
      </c>
      <c r="G401" t="inlineStr">
        <is>
          <t>V. 11</t>
        </is>
      </c>
      <c r="H401" t="inlineStr">
        <is>
          <t>Yes</t>
        </is>
      </c>
      <c r="I401" t="inlineStr">
        <is>
          <t>1</t>
        </is>
      </c>
      <c r="J401" t="inlineStr">
        <is>
          <t>No</t>
        </is>
      </c>
      <c r="K401" t="inlineStr">
        <is>
          <t>No</t>
        </is>
      </c>
      <c r="L401" t="inlineStr">
        <is>
          <t>0</t>
        </is>
      </c>
      <c r="M401" t="inlineStr">
        <is>
          <t>Pedraza Jiménez, Felipe B.</t>
        </is>
      </c>
      <c r="N401" t="inlineStr">
        <is>
          <t>Pamplona : Cénlit, 1980-</t>
        </is>
      </c>
      <c r="O401" t="inlineStr">
        <is>
          <t>1980</t>
        </is>
      </c>
      <c r="Q401" t="inlineStr">
        <is>
          <t>spa</t>
        </is>
      </c>
      <c r="R401" t="inlineStr">
        <is>
          <t xml:space="preserve">sp </t>
        </is>
      </c>
      <c r="T401" t="inlineStr">
        <is>
          <t xml:space="preserve">PQ </t>
        </is>
      </c>
      <c r="U401" t="n">
        <v>0</v>
      </c>
      <c r="V401" t="n">
        <v>13</v>
      </c>
      <c r="X401" t="inlineStr">
        <is>
          <t>2002-04-23</t>
        </is>
      </c>
      <c r="Y401" t="inlineStr">
        <is>
          <t>1993-07-08</t>
        </is>
      </c>
      <c r="Z401" t="inlineStr">
        <is>
          <t>1997-12-29</t>
        </is>
      </c>
      <c r="AA401" t="n">
        <v>323</v>
      </c>
      <c r="AB401" t="n">
        <v>284</v>
      </c>
      <c r="AC401" t="n">
        <v>298</v>
      </c>
      <c r="AD401" t="n">
        <v>2</v>
      </c>
      <c r="AE401" t="n">
        <v>2</v>
      </c>
      <c r="AF401" t="n">
        <v>20</v>
      </c>
      <c r="AG401" t="n">
        <v>21</v>
      </c>
      <c r="AH401" t="n">
        <v>7</v>
      </c>
      <c r="AI401" t="n">
        <v>7</v>
      </c>
      <c r="AJ401" t="n">
        <v>8</v>
      </c>
      <c r="AK401" t="n">
        <v>9</v>
      </c>
      <c r="AL401" t="n">
        <v>12</v>
      </c>
      <c r="AM401" t="n">
        <v>13</v>
      </c>
      <c r="AN401" t="n">
        <v>1</v>
      </c>
      <c r="AO401" t="n">
        <v>1</v>
      </c>
      <c r="AP401" t="n">
        <v>0</v>
      </c>
      <c r="AQ401" t="n">
        <v>0</v>
      </c>
      <c r="AR401" t="inlineStr">
        <is>
          <t>No</t>
        </is>
      </c>
      <c r="AS401" t="inlineStr">
        <is>
          <t>Yes</t>
        </is>
      </c>
      <c r="AT401">
        <f>HYPERLINK("http://catalog.hathitrust.org/Record/000150396","HathiTrust Record")</f>
        <v/>
      </c>
      <c r="AU401">
        <f>HYPERLINK("https://creighton-primo.hosted.exlibrisgroup.com/primo-explore/search?tab=default_tab&amp;search_scope=EVERYTHING&amp;vid=01CRU&amp;lang=en_US&amp;offset=0&amp;query=any,contains,991005204689702656","Catalog Record")</f>
        <v/>
      </c>
      <c r="AV401">
        <f>HYPERLINK("http://www.worldcat.org/oclc/8112114","WorldCat Record")</f>
        <v/>
      </c>
      <c r="AW401" t="inlineStr">
        <is>
          <t>4926464397:spa</t>
        </is>
      </c>
      <c r="AX401" t="inlineStr">
        <is>
          <t>8112114</t>
        </is>
      </c>
      <c r="AY401" t="inlineStr">
        <is>
          <t>991005204689702656</t>
        </is>
      </c>
      <c r="AZ401" t="inlineStr">
        <is>
          <t>991005204689702656</t>
        </is>
      </c>
      <c r="BA401" t="inlineStr">
        <is>
          <t>2256994580002656</t>
        </is>
      </c>
      <c r="BB401" t="inlineStr">
        <is>
          <t>BOOK</t>
        </is>
      </c>
      <c r="BD401" t="inlineStr">
        <is>
          <t>9788485511044</t>
        </is>
      </c>
      <c r="BE401" t="inlineStr">
        <is>
          <t>32285001721736</t>
        </is>
      </c>
      <c r="BF401" t="inlineStr">
        <is>
          <t>893527100</t>
        </is>
      </c>
    </row>
    <row r="402">
      <c r="A402" t="inlineStr">
        <is>
          <t>No</t>
        </is>
      </c>
      <c r="B402" t="inlineStr">
        <is>
          <t>CURAL</t>
        </is>
      </c>
      <c r="C402" t="inlineStr">
        <is>
          <t>SHELVES</t>
        </is>
      </c>
      <c r="D402" t="inlineStr">
        <is>
          <t>PQ6032 .P4 v...</t>
        </is>
      </c>
      <c r="E402" t="inlineStr">
        <is>
          <t>0                      PQ 6032000P  4                                                       v...</t>
        </is>
      </c>
      <c r="F402" t="inlineStr">
        <is>
          <t>Manual de literatura española / Felipe B. Pedraza Jiménez, Milagros Rodríguez Cáceres.</t>
        </is>
      </c>
      <c r="G402" t="inlineStr">
        <is>
          <t>V. 3</t>
        </is>
      </c>
      <c r="H402" t="inlineStr">
        <is>
          <t>Yes</t>
        </is>
      </c>
      <c r="I402" t="inlineStr">
        <is>
          <t>1</t>
        </is>
      </c>
      <c r="J402" t="inlineStr">
        <is>
          <t>No</t>
        </is>
      </c>
      <c r="K402" t="inlineStr">
        <is>
          <t>No</t>
        </is>
      </c>
      <c r="L402" t="inlineStr">
        <is>
          <t>0</t>
        </is>
      </c>
      <c r="M402" t="inlineStr">
        <is>
          <t>Pedraza Jiménez, Felipe B.</t>
        </is>
      </c>
      <c r="N402" t="inlineStr">
        <is>
          <t>Pamplona : Cénlit, 1980-</t>
        </is>
      </c>
      <c r="O402" t="inlineStr">
        <is>
          <t>1980</t>
        </is>
      </c>
      <c r="Q402" t="inlineStr">
        <is>
          <t>spa</t>
        </is>
      </c>
      <c r="R402" t="inlineStr">
        <is>
          <t xml:space="preserve">sp </t>
        </is>
      </c>
      <c r="T402" t="inlineStr">
        <is>
          <t xml:space="preserve">PQ </t>
        </is>
      </c>
      <c r="U402" t="n">
        <v>1</v>
      </c>
      <c r="V402" t="n">
        <v>13</v>
      </c>
      <c r="W402" t="inlineStr">
        <is>
          <t>2002-04-23</t>
        </is>
      </c>
      <c r="X402" t="inlineStr">
        <is>
          <t>2002-04-23</t>
        </is>
      </c>
      <c r="Y402" t="inlineStr">
        <is>
          <t>1992-11-17</t>
        </is>
      </c>
      <c r="Z402" t="inlineStr">
        <is>
          <t>1997-12-29</t>
        </is>
      </c>
      <c r="AA402" t="n">
        <v>323</v>
      </c>
      <c r="AB402" t="n">
        <v>284</v>
      </c>
      <c r="AC402" t="n">
        <v>298</v>
      </c>
      <c r="AD402" t="n">
        <v>2</v>
      </c>
      <c r="AE402" t="n">
        <v>2</v>
      </c>
      <c r="AF402" t="n">
        <v>20</v>
      </c>
      <c r="AG402" t="n">
        <v>21</v>
      </c>
      <c r="AH402" t="n">
        <v>7</v>
      </c>
      <c r="AI402" t="n">
        <v>7</v>
      </c>
      <c r="AJ402" t="n">
        <v>8</v>
      </c>
      <c r="AK402" t="n">
        <v>9</v>
      </c>
      <c r="AL402" t="n">
        <v>12</v>
      </c>
      <c r="AM402" t="n">
        <v>13</v>
      </c>
      <c r="AN402" t="n">
        <v>1</v>
      </c>
      <c r="AO402" t="n">
        <v>1</v>
      </c>
      <c r="AP402" t="n">
        <v>0</v>
      </c>
      <c r="AQ402" t="n">
        <v>0</v>
      </c>
      <c r="AR402" t="inlineStr">
        <is>
          <t>No</t>
        </is>
      </c>
      <c r="AS402" t="inlineStr">
        <is>
          <t>Yes</t>
        </is>
      </c>
      <c r="AT402">
        <f>HYPERLINK("http://catalog.hathitrust.org/Record/000150396","HathiTrust Record")</f>
        <v/>
      </c>
      <c r="AU402">
        <f>HYPERLINK("https://creighton-primo.hosted.exlibrisgroup.com/primo-explore/search?tab=default_tab&amp;search_scope=EVERYTHING&amp;vid=01CRU&amp;lang=en_US&amp;offset=0&amp;query=any,contains,991005204689702656","Catalog Record")</f>
        <v/>
      </c>
      <c r="AV402">
        <f>HYPERLINK("http://www.worldcat.org/oclc/8112114","WorldCat Record")</f>
        <v/>
      </c>
      <c r="AW402" t="inlineStr">
        <is>
          <t>4926464397:spa</t>
        </is>
      </c>
      <c r="AX402" t="inlineStr">
        <is>
          <t>8112114</t>
        </is>
      </c>
      <c r="AY402" t="inlineStr">
        <is>
          <t>991005204689702656</t>
        </is>
      </c>
      <c r="AZ402" t="inlineStr">
        <is>
          <t>991005204689702656</t>
        </is>
      </c>
      <c r="BA402" t="inlineStr">
        <is>
          <t>2256994580002656</t>
        </is>
      </c>
      <c r="BB402" t="inlineStr">
        <is>
          <t>BOOK</t>
        </is>
      </c>
      <c r="BD402" t="inlineStr">
        <is>
          <t>9788485511044</t>
        </is>
      </c>
      <c r="BE402" t="inlineStr">
        <is>
          <t>32285001363596</t>
        </is>
      </c>
      <c r="BF402" t="inlineStr">
        <is>
          <t>893527097</t>
        </is>
      </c>
    </row>
    <row r="403">
      <c r="A403" t="inlineStr">
        <is>
          <t>No</t>
        </is>
      </c>
      <c r="B403" t="inlineStr">
        <is>
          <t>CURAL</t>
        </is>
      </c>
      <c r="C403" t="inlineStr">
        <is>
          <t>SHELVES</t>
        </is>
      </c>
      <c r="D403" t="inlineStr">
        <is>
          <t>PQ6032 .P4 v...</t>
        </is>
      </c>
      <c r="E403" t="inlineStr">
        <is>
          <t>0                      PQ 6032000P  4                                                       v...</t>
        </is>
      </c>
      <c r="F403" t="inlineStr">
        <is>
          <t>Manual de literatura española / Felipe B. Pedraza Jiménez, Milagros Rodríguez Cáceres.</t>
        </is>
      </c>
      <c r="G403" t="inlineStr">
        <is>
          <t>V. 5</t>
        </is>
      </c>
      <c r="H403" t="inlineStr">
        <is>
          <t>Yes</t>
        </is>
      </c>
      <c r="I403" t="inlineStr">
        <is>
          <t>1</t>
        </is>
      </c>
      <c r="J403" t="inlineStr">
        <is>
          <t>No</t>
        </is>
      </c>
      <c r="K403" t="inlineStr">
        <is>
          <t>No</t>
        </is>
      </c>
      <c r="L403" t="inlineStr">
        <is>
          <t>0</t>
        </is>
      </c>
      <c r="M403" t="inlineStr">
        <is>
          <t>Pedraza Jiménez, Felipe B.</t>
        </is>
      </c>
      <c r="N403" t="inlineStr">
        <is>
          <t>Pamplona : Cénlit, 1980-</t>
        </is>
      </c>
      <c r="O403" t="inlineStr">
        <is>
          <t>1980</t>
        </is>
      </c>
      <c r="Q403" t="inlineStr">
        <is>
          <t>spa</t>
        </is>
      </c>
      <c r="R403" t="inlineStr">
        <is>
          <t xml:space="preserve">sp </t>
        </is>
      </c>
      <c r="T403" t="inlineStr">
        <is>
          <t xml:space="preserve">PQ </t>
        </is>
      </c>
      <c r="U403" t="n">
        <v>0</v>
      </c>
      <c r="V403" t="n">
        <v>13</v>
      </c>
      <c r="X403" t="inlineStr">
        <is>
          <t>2002-04-23</t>
        </is>
      </c>
      <c r="Y403" t="inlineStr">
        <is>
          <t>1992-11-17</t>
        </is>
      </c>
      <c r="Z403" t="inlineStr">
        <is>
          <t>1997-12-29</t>
        </is>
      </c>
      <c r="AA403" t="n">
        <v>323</v>
      </c>
      <c r="AB403" t="n">
        <v>284</v>
      </c>
      <c r="AC403" t="n">
        <v>298</v>
      </c>
      <c r="AD403" t="n">
        <v>2</v>
      </c>
      <c r="AE403" t="n">
        <v>2</v>
      </c>
      <c r="AF403" t="n">
        <v>20</v>
      </c>
      <c r="AG403" t="n">
        <v>21</v>
      </c>
      <c r="AH403" t="n">
        <v>7</v>
      </c>
      <c r="AI403" t="n">
        <v>7</v>
      </c>
      <c r="AJ403" t="n">
        <v>8</v>
      </c>
      <c r="AK403" t="n">
        <v>9</v>
      </c>
      <c r="AL403" t="n">
        <v>12</v>
      </c>
      <c r="AM403" t="n">
        <v>13</v>
      </c>
      <c r="AN403" t="n">
        <v>1</v>
      </c>
      <c r="AO403" t="n">
        <v>1</v>
      </c>
      <c r="AP403" t="n">
        <v>0</v>
      </c>
      <c r="AQ403" t="n">
        <v>0</v>
      </c>
      <c r="AR403" t="inlineStr">
        <is>
          <t>No</t>
        </is>
      </c>
      <c r="AS403" t="inlineStr">
        <is>
          <t>Yes</t>
        </is>
      </c>
      <c r="AT403">
        <f>HYPERLINK("http://catalog.hathitrust.org/Record/000150396","HathiTrust Record")</f>
        <v/>
      </c>
      <c r="AU403">
        <f>HYPERLINK("https://creighton-primo.hosted.exlibrisgroup.com/primo-explore/search?tab=default_tab&amp;search_scope=EVERYTHING&amp;vid=01CRU&amp;lang=en_US&amp;offset=0&amp;query=any,contains,991005204689702656","Catalog Record")</f>
        <v/>
      </c>
      <c r="AV403">
        <f>HYPERLINK("http://www.worldcat.org/oclc/8112114","WorldCat Record")</f>
        <v/>
      </c>
      <c r="AW403" t="inlineStr">
        <is>
          <t>4926464397:spa</t>
        </is>
      </c>
      <c r="AX403" t="inlineStr">
        <is>
          <t>8112114</t>
        </is>
      </c>
      <c r="AY403" t="inlineStr">
        <is>
          <t>991005204689702656</t>
        </is>
      </c>
      <c r="AZ403" t="inlineStr">
        <is>
          <t>991005204689702656</t>
        </is>
      </c>
      <c r="BA403" t="inlineStr">
        <is>
          <t>2256994580002656</t>
        </is>
      </c>
      <c r="BB403" t="inlineStr">
        <is>
          <t>BOOK</t>
        </is>
      </c>
      <c r="BD403" t="inlineStr">
        <is>
          <t>9788485511044</t>
        </is>
      </c>
      <c r="BE403" t="inlineStr">
        <is>
          <t>32285001363612</t>
        </is>
      </c>
      <c r="BF403" t="inlineStr">
        <is>
          <t>893507777</t>
        </is>
      </c>
    </row>
    <row r="404">
      <c r="A404" t="inlineStr">
        <is>
          <t>No</t>
        </is>
      </c>
      <c r="B404" t="inlineStr">
        <is>
          <t>CURAL</t>
        </is>
      </c>
      <c r="C404" t="inlineStr">
        <is>
          <t>SHELVES</t>
        </is>
      </c>
      <c r="D404" t="inlineStr">
        <is>
          <t>PQ6032 .P4 v...</t>
        </is>
      </c>
      <c r="E404" t="inlineStr">
        <is>
          <t>0                      PQ 6032000P  4                                                       v...</t>
        </is>
      </c>
      <c r="F404" t="inlineStr">
        <is>
          <t>Manual de literatura española / Felipe B. Pedraza Jiménez, Milagros Rodríguez Cáceres.</t>
        </is>
      </c>
      <c r="G404" t="inlineStr">
        <is>
          <t>V. 7</t>
        </is>
      </c>
      <c r="H404" t="inlineStr">
        <is>
          <t>Yes</t>
        </is>
      </c>
      <c r="I404" t="inlineStr">
        <is>
          <t>1</t>
        </is>
      </c>
      <c r="J404" t="inlineStr">
        <is>
          <t>No</t>
        </is>
      </c>
      <c r="K404" t="inlineStr">
        <is>
          <t>No</t>
        </is>
      </c>
      <c r="L404" t="inlineStr">
        <is>
          <t>0</t>
        </is>
      </c>
      <c r="M404" t="inlineStr">
        <is>
          <t>Pedraza Jiménez, Felipe B.</t>
        </is>
      </c>
      <c r="N404" t="inlineStr">
        <is>
          <t>Pamplona : Cénlit, 1980-</t>
        </is>
      </c>
      <c r="O404" t="inlineStr">
        <is>
          <t>1980</t>
        </is>
      </c>
      <c r="Q404" t="inlineStr">
        <is>
          <t>spa</t>
        </is>
      </c>
      <c r="R404" t="inlineStr">
        <is>
          <t xml:space="preserve">sp </t>
        </is>
      </c>
      <c r="T404" t="inlineStr">
        <is>
          <t xml:space="preserve">PQ </t>
        </is>
      </c>
      <c r="U404" t="n">
        <v>4</v>
      </c>
      <c r="V404" t="n">
        <v>13</v>
      </c>
      <c r="W404" t="inlineStr">
        <is>
          <t>1996-11-14</t>
        </is>
      </c>
      <c r="X404" t="inlineStr">
        <is>
          <t>2002-04-23</t>
        </is>
      </c>
      <c r="Y404" t="inlineStr">
        <is>
          <t>1992-11-17</t>
        </is>
      </c>
      <c r="Z404" t="inlineStr">
        <is>
          <t>1997-12-29</t>
        </is>
      </c>
      <c r="AA404" t="n">
        <v>323</v>
      </c>
      <c r="AB404" t="n">
        <v>284</v>
      </c>
      <c r="AC404" t="n">
        <v>298</v>
      </c>
      <c r="AD404" t="n">
        <v>2</v>
      </c>
      <c r="AE404" t="n">
        <v>2</v>
      </c>
      <c r="AF404" t="n">
        <v>20</v>
      </c>
      <c r="AG404" t="n">
        <v>21</v>
      </c>
      <c r="AH404" t="n">
        <v>7</v>
      </c>
      <c r="AI404" t="n">
        <v>7</v>
      </c>
      <c r="AJ404" t="n">
        <v>8</v>
      </c>
      <c r="AK404" t="n">
        <v>9</v>
      </c>
      <c r="AL404" t="n">
        <v>12</v>
      </c>
      <c r="AM404" t="n">
        <v>13</v>
      </c>
      <c r="AN404" t="n">
        <v>1</v>
      </c>
      <c r="AO404" t="n">
        <v>1</v>
      </c>
      <c r="AP404" t="n">
        <v>0</v>
      </c>
      <c r="AQ404" t="n">
        <v>0</v>
      </c>
      <c r="AR404" t="inlineStr">
        <is>
          <t>No</t>
        </is>
      </c>
      <c r="AS404" t="inlineStr">
        <is>
          <t>Yes</t>
        </is>
      </c>
      <c r="AT404">
        <f>HYPERLINK("http://catalog.hathitrust.org/Record/000150396","HathiTrust Record")</f>
        <v/>
      </c>
      <c r="AU404">
        <f>HYPERLINK("https://creighton-primo.hosted.exlibrisgroup.com/primo-explore/search?tab=default_tab&amp;search_scope=EVERYTHING&amp;vid=01CRU&amp;lang=en_US&amp;offset=0&amp;query=any,contains,991005204689702656","Catalog Record")</f>
        <v/>
      </c>
      <c r="AV404">
        <f>HYPERLINK("http://www.worldcat.org/oclc/8112114","WorldCat Record")</f>
        <v/>
      </c>
      <c r="AW404" t="inlineStr">
        <is>
          <t>4926464397:spa</t>
        </is>
      </c>
      <c r="AX404" t="inlineStr">
        <is>
          <t>8112114</t>
        </is>
      </c>
      <c r="AY404" t="inlineStr">
        <is>
          <t>991005204689702656</t>
        </is>
      </c>
      <c r="AZ404" t="inlineStr">
        <is>
          <t>991005204689702656</t>
        </is>
      </c>
      <c r="BA404" t="inlineStr">
        <is>
          <t>2256994580002656</t>
        </is>
      </c>
      <c r="BB404" t="inlineStr">
        <is>
          <t>BOOK</t>
        </is>
      </c>
      <c r="BD404" t="inlineStr">
        <is>
          <t>9788485511044</t>
        </is>
      </c>
      <c r="BE404" t="inlineStr">
        <is>
          <t>32285001363638</t>
        </is>
      </c>
      <c r="BF404" t="inlineStr">
        <is>
          <t>893527095</t>
        </is>
      </c>
    </row>
    <row r="405">
      <c r="A405" t="inlineStr">
        <is>
          <t>No</t>
        </is>
      </c>
      <c r="B405" t="inlineStr">
        <is>
          <t>CURAL</t>
        </is>
      </c>
      <c r="C405" t="inlineStr">
        <is>
          <t>SHELVES</t>
        </is>
      </c>
      <c r="D405" t="inlineStr">
        <is>
          <t>PQ6032 .P4 v...</t>
        </is>
      </c>
      <c r="E405" t="inlineStr">
        <is>
          <t>0                      PQ 6032000P  4                                                       v...</t>
        </is>
      </c>
      <c r="F405" t="inlineStr">
        <is>
          <t>Manual de literatura española / Felipe B. Pedraza Jiménez, Milagros Rodríguez Cáceres.</t>
        </is>
      </c>
      <c r="G405" t="inlineStr">
        <is>
          <t>V. 1</t>
        </is>
      </c>
      <c r="H405" t="inlineStr">
        <is>
          <t>Yes</t>
        </is>
      </c>
      <c r="I405" t="inlineStr">
        <is>
          <t>1</t>
        </is>
      </c>
      <c r="J405" t="inlineStr">
        <is>
          <t>No</t>
        </is>
      </c>
      <c r="K405" t="inlineStr">
        <is>
          <t>No</t>
        </is>
      </c>
      <c r="L405" t="inlineStr">
        <is>
          <t>0</t>
        </is>
      </c>
      <c r="M405" t="inlineStr">
        <is>
          <t>Pedraza Jiménez, Felipe B.</t>
        </is>
      </c>
      <c r="N405" t="inlineStr">
        <is>
          <t>Pamplona : Cénlit, 1980-</t>
        </is>
      </c>
      <c r="O405" t="inlineStr">
        <is>
          <t>1980</t>
        </is>
      </c>
      <c r="Q405" t="inlineStr">
        <is>
          <t>spa</t>
        </is>
      </c>
      <c r="R405" t="inlineStr">
        <is>
          <t xml:space="preserve">sp </t>
        </is>
      </c>
      <c r="T405" t="inlineStr">
        <is>
          <t xml:space="preserve">PQ </t>
        </is>
      </c>
      <c r="U405" t="n">
        <v>4</v>
      </c>
      <c r="V405" t="n">
        <v>13</v>
      </c>
      <c r="W405" t="inlineStr">
        <is>
          <t>2000-10-13</t>
        </is>
      </c>
      <c r="X405" t="inlineStr">
        <is>
          <t>2002-04-23</t>
        </is>
      </c>
      <c r="Y405" t="inlineStr">
        <is>
          <t>1992-11-17</t>
        </is>
      </c>
      <c r="Z405" t="inlineStr">
        <is>
          <t>1997-12-29</t>
        </is>
      </c>
      <c r="AA405" t="n">
        <v>323</v>
      </c>
      <c r="AB405" t="n">
        <v>284</v>
      </c>
      <c r="AC405" t="n">
        <v>298</v>
      </c>
      <c r="AD405" t="n">
        <v>2</v>
      </c>
      <c r="AE405" t="n">
        <v>2</v>
      </c>
      <c r="AF405" t="n">
        <v>20</v>
      </c>
      <c r="AG405" t="n">
        <v>21</v>
      </c>
      <c r="AH405" t="n">
        <v>7</v>
      </c>
      <c r="AI405" t="n">
        <v>7</v>
      </c>
      <c r="AJ405" t="n">
        <v>8</v>
      </c>
      <c r="AK405" t="n">
        <v>9</v>
      </c>
      <c r="AL405" t="n">
        <v>12</v>
      </c>
      <c r="AM405" t="n">
        <v>13</v>
      </c>
      <c r="AN405" t="n">
        <v>1</v>
      </c>
      <c r="AO405" t="n">
        <v>1</v>
      </c>
      <c r="AP405" t="n">
        <v>0</v>
      </c>
      <c r="AQ405" t="n">
        <v>0</v>
      </c>
      <c r="AR405" t="inlineStr">
        <is>
          <t>No</t>
        </is>
      </c>
      <c r="AS405" t="inlineStr">
        <is>
          <t>Yes</t>
        </is>
      </c>
      <c r="AT405">
        <f>HYPERLINK("http://catalog.hathitrust.org/Record/000150396","HathiTrust Record")</f>
        <v/>
      </c>
      <c r="AU405">
        <f>HYPERLINK("https://creighton-primo.hosted.exlibrisgroup.com/primo-explore/search?tab=default_tab&amp;search_scope=EVERYTHING&amp;vid=01CRU&amp;lang=en_US&amp;offset=0&amp;query=any,contains,991005204689702656","Catalog Record")</f>
        <v/>
      </c>
      <c r="AV405">
        <f>HYPERLINK("http://www.worldcat.org/oclc/8112114","WorldCat Record")</f>
        <v/>
      </c>
      <c r="AW405" t="inlineStr">
        <is>
          <t>4926464397:spa</t>
        </is>
      </c>
      <c r="AX405" t="inlineStr">
        <is>
          <t>8112114</t>
        </is>
      </c>
      <c r="AY405" t="inlineStr">
        <is>
          <t>991005204689702656</t>
        </is>
      </c>
      <c r="AZ405" t="inlineStr">
        <is>
          <t>991005204689702656</t>
        </is>
      </c>
      <c r="BA405" t="inlineStr">
        <is>
          <t>2256994580002656</t>
        </is>
      </c>
      <c r="BB405" t="inlineStr">
        <is>
          <t>BOOK</t>
        </is>
      </c>
      <c r="BD405" t="inlineStr">
        <is>
          <t>9788485511044</t>
        </is>
      </c>
      <c r="BE405" t="inlineStr">
        <is>
          <t>32285001363570</t>
        </is>
      </c>
      <c r="BF405" t="inlineStr">
        <is>
          <t>893527094</t>
        </is>
      </c>
    </row>
    <row r="406">
      <c r="A406" t="inlineStr">
        <is>
          <t>No</t>
        </is>
      </c>
      <c r="B406" t="inlineStr">
        <is>
          <t>CURAL</t>
        </is>
      </c>
      <c r="C406" t="inlineStr">
        <is>
          <t>SHELVES</t>
        </is>
      </c>
      <c r="D406" t="inlineStr">
        <is>
          <t>PQ6032 .P4 v...</t>
        </is>
      </c>
      <c r="E406" t="inlineStr">
        <is>
          <t>0                      PQ 6032000P  4                                                       v...</t>
        </is>
      </c>
      <c r="F406" t="inlineStr">
        <is>
          <t>Manual de literatura española / Felipe B. Pedraza Jiménez, Milagros Rodríguez Cáceres.</t>
        </is>
      </c>
      <c r="G406" t="inlineStr">
        <is>
          <t>V. 4</t>
        </is>
      </c>
      <c r="H406" t="inlineStr">
        <is>
          <t>Yes</t>
        </is>
      </c>
      <c r="I406" t="inlineStr">
        <is>
          <t>1</t>
        </is>
      </c>
      <c r="J406" t="inlineStr">
        <is>
          <t>No</t>
        </is>
      </c>
      <c r="K406" t="inlineStr">
        <is>
          <t>No</t>
        </is>
      </c>
      <c r="L406" t="inlineStr">
        <is>
          <t>0</t>
        </is>
      </c>
      <c r="M406" t="inlineStr">
        <is>
          <t>Pedraza Jiménez, Felipe B.</t>
        </is>
      </c>
      <c r="N406" t="inlineStr">
        <is>
          <t>Pamplona : Cénlit, 1980-</t>
        </is>
      </c>
      <c r="O406" t="inlineStr">
        <is>
          <t>1980</t>
        </is>
      </c>
      <c r="Q406" t="inlineStr">
        <is>
          <t>spa</t>
        </is>
      </c>
      <c r="R406" t="inlineStr">
        <is>
          <t xml:space="preserve">sp </t>
        </is>
      </c>
      <c r="T406" t="inlineStr">
        <is>
          <t xml:space="preserve">PQ </t>
        </is>
      </c>
      <c r="U406" t="n">
        <v>0</v>
      </c>
      <c r="V406" t="n">
        <v>13</v>
      </c>
      <c r="X406" t="inlineStr">
        <is>
          <t>2002-04-23</t>
        </is>
      </c>
      <c r="Y406" t="inlineStr">
        <is>
          <t>1992-11-17</t>
        </is>
      </c>
      <c r="Z406" t="inlineStr">
        <is>
          <t>1997-12-29</t>
        </is>
      </c>
      <c r="AA406" t="n">
        <v>323</v>
      </c>
      <c r="AB406" t="n">
        <v>284</v>
      </c>
      <c r="AC406" t="n">
        <v>298</v>
      </c>
      <c r="AD406" t="n">
        <v>2</v>
      </c>
      <c r="AE406" t="n">
        <v>2</v>
      </c>
      <c r="AF406" t="n">
        <v>20</v>
      </c>
      <c r="AG406" t="n">
        <v>21</v>
      </c>
      <c r="AH406" t="n">
        <v>7</v>
      </c>
      <c r="AI406" t="n">
        <v>7</v>
      </c>
      <c r="AJ406" t="n">
        <v>8</v>
      </c>
      <c r="AK406" t="n">
        <v>9</v>
      </c>
      <c r="AL406" t="n">
        <v>12</v>
      </c>
      <c r="AM406" t="n">
        <v>13</v>
      </c>
      <c r="AN406" t="n">
        <v>1</v>
      </c>
      <c r="AO406" t="n">
        <v>1</v>
      </c>
      <c r="AP406" t="n">
        <v>0</v>
      </c>
      <c r="AQ406" t="n">
        <v>0</v>
      </c>
      <c r="AR406" t="inlineStr">
        <is>
          <t>No</t>
        </is>
      </c>
      <c r="AS406" t="inlineStr">
        <is>
          <t>Yes</t>
        </is>
      </c>
      <c r="AT406">
        <f>HYPERLINK("http://catalog.hathitrust.org/Record/000150396","HathiTrust Record")</f>
        <v/>
      </c>
      <c r="AU406">
        <f>HYPERLINK("https://creighton-primo.hosted.exlibrisgroup.com/primo-explore/search?tab=default_tab&amp;search_scope=EVERYTHING&amp;vid=01CRU&amp;lang=en_US&amp;offset=0&amp;query=any,contains,991005204689702656","Catalog Record")</f>
        <v/>
      </c>
      <c r="AV406">
        <f>HYPERLINK("http://www.worldcat.org/oclc/8112114","WorldCat Record")</f>
        <v/>
      </c>
      <c r="AW406" t="inlineStr">
        <is>
          <t>4926464397:spa</t>
        </is>
      </c>
      <c r="AX406" t="inlineStr">
        <is>
          <t>8112114</t>
        </is>
      </c>
      <c r="AY406" t="inlineStr">
        <is>
          <t>991005204689702656</t>
        </is>
      </c>
      <c r="AZ406" t="inlineStr">
        <is>
          <t>991005204689702656</t>
        </is>
      </c>
      <c r="BA406" t="inlineStr">
        <is>
          <t>2256994580002656</t>
        </is>
      </c>
      <c r="BB406" t="inlineStr">
        <is>
          <t>BOOK</t>
        </is>
      </c>
      <c r="BD406" t="inlineStr">
        <is>
          <t>9788485511044</t>
        </is>
      </c>
      <c r="BE406" t="inlineStr">
        <is>
          <t>32285001363604</t>
        </is>
      </c>
      <c r="BF406" t="inlineStr">
        <is>
          <t>893533358</t>
        </is>
      </c>
    </row>
    <row r="407">
      <c r="A407" t="inlineStr">
        <is>
          <t>No</t>
        </is>
      </c>
      <c r="B407" t="inlineStr">
        <is>
          <t>CURAL</t>
        </is>
      </c>
      <c r="C407" t="inlineStr">
        <is>
          <t>SHELVES</t>
        </is>
      </c>
      <c r="D407" t="inlineStr">
        <is>
          <t>PQ6032 .P4 v...</t>
        </is>
      </c>
      <c r="E407" t="inlineStr">
        <is>
          <t>0                      PQ 6032000P  4                                                       v...</t>
        </is>
      </c>
      <c r="F407" t="inlineStr">
        <is>
          <t>Manual de literatura española / Felipe B. Pedraza Jiménez, Milagros Rodríguez Cáceres.</t>
        </is>
      </c>
      <c r="G407" t="inlineStr">
        <is>
          <t>V. 2</t>
        </is>
      </c>
      <c r="H407" t="inlineStr">
        <is>
          <t>Yes</t>
        </is>
      </c>
      <c r="I407" t="inlineStr">
        <is>
          <t>1</t>
        </is>
      </c>
      <c r="J407" t="inlineStr">
        <is>
          <t>No</t>
        </is>
      </c>
      <c r="K407" t="inlineStr">
        <is>
          <t>No</t>
        </is>
      </c>
      <c r="L407" t="inlineStr">
        <is>
          <t>0</t>
        </is>
      </c>
      <c r="M407" t="inlineStr">
        <is>
          <t>Pedraza Jiménez, Felipe B.</t>
        </is>
      </c>
      <c r="N407" t="inlineStr">
        <is>
          <t>Pamplona : Cénlit, 1980-</t>
        </is>
      </c>
      <c r="O407" t="inlineStr">
        <is>
          <t>1980</t>
        </is>
      </c>
      <c r="Q407" t="inlineStr">
        <is>
          <t>spa</t>
        </is>
      </c>
      <c r="R407" t="inlineStr">
        <is>
          <t xml:space="preserve">sp </t>
        </is>
      </c>
      <c r="T407" t="inlineStr">
        <is>
          <t xml:space="preserve">PQ </t>
        </is>
      </c>
      <c r="U407" t="n">
        <v>3</v>
      </c>
      <c r="V407" t="n">
        <v>13</v>
      </c>
      <c r="W407" t="inlineStr">
        <is>
          <t>1995-10-18</t>
        </is>
      </c>
      <c r="X407" t="inlineStr">
        <is>
          <t>2002-04-23</t>
        </is>
      </c>
      <c r="Y407" t="inlineStr">
        <is>
          <t>1992-11-17</t>
        </is>
      </c>
      <c r="Z407" t="inlineStr">
        <is>
          <t>1997-12-29</t>
        </is>
      </c>
      <c r="AA407" t="n">
        <v>323</v>
      </c>
      <c r="AB407" t="n">
        <v>284</v>
      </c>
      <c r="AC407" t="n">
        <v>298</v>
      </c>
      <c r="AD407" t="n">
        <v>2</v>
      </c>
      <c r="AE407" t="n">
        <v>2</v>
      </c>
      <c r="AF407" t="n">
        <v>20</v>
      </c>
      <c r="AG407" t="n">
        <v>21</v>
      </c>
      <c r="AH407" t="n">
        <v>7</v>
      </c>
      <c r="AI407" t="n">
        <v>7</v>
      </c>
      <c r="AJ407" t="n">
        <v>8</v>
      </c>
      <c r="AK407" t="n">
        <v>9</v>
      </c>
      <c r="AL407" t="n">
        <v>12</v>
      </c>
      <c r="AM407" t="n">
        <v>13</v>
      </c>
      <c r="AN407" t="n">
        <v>1</v>
      </c>
      <c r="AO407" t="n">
        <v>1</v>
      </c>
      <c r="AP407" t="n">
        <v>0</v>
      </c>
      <c r="AQ407" t="n">
        <v>0</v>
      </c>
      <c r="AR407" t="inlineStr">
        <is>
          <t>No</t>
        </is>
      </c>
      <c r="AS407" t="inlineStr">
        <is>
          <t>Yes</t>
        </is>
      </c>
      <c r="AT407">
        <f>HYPERLINK("http://catalog.hathitrust.org/Record/000150396","HathiTrust Record")</f>
        <v/>
      </c>
      <c r="AU407">
        <f>HYPERLINK("https://creighton-primo.hosted.exlibrisgroup.com/primo-explore/search?tab=default_tab&amp;search_scope=EVERYTHING&amp;vid=01CRU&amp;lang=en_US&amp;offset=0&amp;query=any,contains,991005204689702656","Catalog Record")</f>
        <v/>
      </c>
      <c r="AV407">
        <f>HYPERLINK("http://www.worldcat.org/oclc/8112114","WorldCat Record")</f>
        <v/>
      </c>
      <c r="AW407" t="inlineStr">
        <is>
          <t>4926464397:spa</t>
        </is>
      </c>
      <c r="AX407" t="inlineStr">
        <is>
          <t>8112114</t>
        </is>
      </c>
      <c r="AY407" t="inlineStr">
        <is>
          <t>991005204689702656</t>
        </is>
      </c>
      <c r="AZ407" t="inlineStr">
        <is>
          <t>991005204689702656</t>
        </is>
      </c>
      <c r="BA407" t="inlineStr">
        <is>
          <t>2256994580002656</t>
        </is>
      </c>
      <c r="BB407" t="inlineStr">
        <is>
          <t>BOOK</t>
        </is>
      </c>
      <c r="BD407" t="inlineStr">
        <is>
          <t>9788485511044</t>
        </is>
      </c>
      <c r="BE407" t="inlineStr">
        <is>
          <t>32285001363588</t>
        </is>
      </c>
      <c r="BF407" t="inlineStr">
        <is>
          <t>893527098</t>
        </is>
      </c>
    </row>
    <row r="408">
      <c r="A408" t="inlineStr">
        <is>
          <t>No</t>
        </is>
      </c>
      <c r="B408" t="inlineStr">
        <is>
          <t>CURAL</t>
        </is>
      </c>
      <c r="C408" t="inlineStr">
        <is>
          <t>SHELVES</t>
        </is>
      </c>
      <c r="D408" t="inlineStr">
        <is>
          <t>PQ6032 .P4 v...</t>
        </is>
      </c>
      <c r="E408" t="inlineStr">
        <is>
          <t>0                      PQ 6032000P  4                                                       v...</t>
        </is>
      </c>
      <c r="F408" t="inlineStr">
        <is>
          <t>Manual de literatura española / Felipe B. Pedraza Jiménez, Milagros Rodríguez Cáceres.</t>
        </is>
      </c>
      <c r="G408" t="inlineStr">
        <is>
          <t>V. 10</t>
        </is>
      </c>
      <c r="H408" t="inlineStr">
        <is>
          <t>Yes</t>
        </is>
      </c>
      <c r="I408" t="inlineStr">
        <is>
          <t>1</t>
        </is>
      </c>
      <c r="J408" t="inlineStr">
        <is>
          <t>No</t>
        </is>
      </c>
      <c r="K408" t="inlineStr">
        <is>
          <t>No</t>
        </is>
      </c>
      <c r="L408" t="inlineStr">
        <is>
          <t>0</t>
        </is>
      </c>
      <c r="M408" t="inlineStr">
        <is>
          <t>Pedraza Jiménez, Felipe B.</t>
        </is>
      </c>
      <c r="N408" t="inlineStr">
        <is>
          <t>Pamplona : Cénlit, 1980-</t>
        </is>
      </c>
      <c r="O408" t="inlineStr">
        <is>
          <t>1980</t>
        </is>
      </c>
      <c r="Q408" t="inlineStr">
        <is>
          <t>spa</t>
        </is>
      </c>
      <c r="R408" t="inlineStr">
        <is>
          <t xml:space="preserve">sp </t>
        </is>
      </c>
      <c r="T408" t="inlineStr">
        <is>
          <t xml:space="preserve">PQ </t>
        </is>
      </c>
      <c r="U408" t="n">
        <v>0</v>
      </c>
      <c r="V408" t="n">
        <v>13</v>
      </c>
      <c r="X408" t="inlineStr">
        <is>
          <t>2002-04-23</t>
        </is>
      </c>
      <c r="Y408" t="inlineStr">
        <is>
          <t>1992-11-17</t>
        </is>
      </c>
      <c r="Z408" t="inlineStr">
        <is>
          <t>1997-12-29</t>
        </is>
      </c>
      <c r="AA408" t="n">
        <v>323</v>
      </c>
      <c r="AB408" t="n">
        <v>284</v>
      </c>
      <c r="AC408" t="n">
        <v>298</v>
      </c>
      <c r="AD408" t="n">
        <v>2</v>
      </c>
      <c r="AE408" t="n">
        <v>2</v>
      </c>
      <c r="AF408" t="n">
        <v>20</v>
      </c>
      <c r="AG408" t="n">
        <v>21</v>
      </c>
      <c r="AH408" t="n">
        <v>7</v>
      </c>
      <c r="AI408" t="n">
        <v>7</v>
      </c>
      <c r="AJ408" t="n">
        <v>8</v>
      </c>
      <c r="AK408" t="n">
        <v>9</v>
      </c>
      <c r="AL408" t="n">
        <v>12</v>
      </c>
      <c r="AM408" t="n">
        <v>13</v>
      </c>
      <c r="AN408" t="n">
        <v>1</v>
      </c>
      <c r="AO408" t="n">
        <v>1</v>
      </c>
      <c r="AP408" t="n">
        <v>0</v>
      </c>
      <c r="AQ408" t="n">
        <v>0</v>
      </c>
      <c r="AR408" t="inlineStr">
        <is>
          <t>No</t>
        </is>
      </c>
      <c r="AS408" t="inlineStr">
        <is>
          <t>Yes</t>
        </is>
      </c>
      <c r="AT408">
        <f>HYPERLINK("http://catalog.hathitrust.org/Record/000150396","HathiTrust Record")</f>
        <v/>
      </c>
      <c r="AU408">
        <f>HYPERLINK("https://creighton-primo.hosted.exlibrisgroup.com/primo-explore/search?tab=default_tab&amp;search_scope=EVERYTHING&amp;vid=01CRU&amp;lang=en_US&amp;offset=0&amp;query=any,contains,991005204689702656","Catalog Record")</f>
        <v/>
      </c>
      <c r="AV408">
        <f>HYPERLINK("http://www.worldcat.org/oclc/8112114","WorldCat Record")</f>
        <v/>
      </c>
      <c r="AW408" t="inlineStr">
        <is>
          <t>4926464397:spa</t>
        </is>
      </c>
      <c r="AX408" t="inlineStr">
        <is>
          <t>8112114</t>
        </is>
      </c>
      <c r="AY408" t="inlineStr">
        <is>
          <t>991005204689702656</t>
        </is>
      </c>
      <c r="AZ408" t="inlineStr">
        <is>
          <t>991005204689702656</t>
        </is>
      </c>
      <c r="BA408" t="inlineStr">
        <is>
          <t>2256994580002656</t>
        </is>
      </c>
      <c r="BB408" t="inlineStr">
        <is>
          <t>BOOK</t>
        </is>
      </c>
      <c r="BD408" t="inlineStr">
        <is>
          <t>9788485511044</t>
        </is>
      </c>
      <c r="BE408" t="inlineStr">
        <is>
          <t>32285001363661</t>
        </is>
      </c>
      <c r="BF408" t="inlineStr">
        <is>
          <t>893533359</t>
        </is>
      </c>
    </row>
    <row r="409">
      <c r="A409" t="inlineStr">
        <is>
          <t>No</t>
        </is>
      </c>
      <c r="B409" t="inlineStr">
        <is>
          <t>CURAL</t>
        </is>
      </c>
      <c r="C409" t="inlineStr">
        <is>
          <t>SHELVES</t>
        </is>
      </c>
      <c r="D409" t="inlineStr">
        <is>
          <t>PQ6032 .P4 v...</t>
        </is>
      </c>
      <c r="E409" t="inlineStr">
        <is>
          <t>0                      PQ 6032000P  4                                                       v...</t>
        </is>
      </c>
      <c r="F409" t="inlineStr">
        <is>
          <t>Manual de literatura española / Felipe B. Pedraza Jiménez, Milagros Rodríguez Cáceres.</t>
        </is>
      </c>
      <c r="G409" t="inlineStr">
        <is>
          <t>V. 8</t>
        </is>
      </c>
      <c r="H409" t="inlineStr">
        <is>
          <t>Yes</t>
        </is>
      </c>
      <c r="I409" t="inlineStr">
        <is>
          <t>1</t>
        </is>
      </c>
      <c r="J409" t="inlineStr">
        <is>
          <t>No</t>
        </is>
      </c>
      <c r="K409" t="inlineStr">
        <is>
          <t>No</t>
        </is>
      </c>
      <c r="L409" t="inlineStr">
        <is>
          <t>0</t>
        </is>
      </c>
      <c r="M409" t="inlineStr">
        <is>
          <t>Pedraza Jiménez, Felipe B.</t>
        </is>
      </c>
      <c r="N409" t="inlineStr">
        <is>
          <t>Pamplona : Cénlit, 1980-</t>
        </is>
      </c>
      <c r="O409" t="inlineStr">
        <is>
          <t>1980</t>
        </is>
      </c>
      <c r="Q409" t="inlineStr">
        <is>
          <t>spa</t>
        </is>
      </c>
      <c r="R409" t="inlineStr">
        <is>
          <t xml:space="preserve">sp </t>
        </is>
      </c>
      <c r="T409" t="inlineStr">
        <is>
          <t xml:space="preserve">PQ </t>
        </is>
      </c>
      <c r="U409" t="n">
        <v>0</v>
      </c>
      <c r="V409" t="n">
        <v>13</v>
      </c>
      <c r="X409" t="inlineStr">
        <is>
          <t>2002-04-23</t>
        </is>
      </c>
      <c r="Y409" t="inlineStr">
        <is>
          <t>1992-11-17</t>
        </is>
      </c>
      <c r="Z409" t="inlineStr">
        <is>
          <t>1997-12-29</t>
        </is>
      </c>
      <c r="AA409" t="n">
        <v>323</v>
      </c>
      <c r="AB409" t="n">
        <v>284</v>
      </c>
      <c r="AC409" t="n">
        <v>298</v>
      </c>
      <c r="AD409" t="n">
        <v>2</v>
      </c>
      <c r="AE409" t="n">
        <v>2</v>
      </c>
      <c r="AF409" t="n">
        <v>20</v>
      </c>
      <c r="AG409" t="n">
        <v>21</v>
      </c>
      <c r="AH409" t="n">
        <v>7</v>
      </c>
      <c r="AI409" t="n">
        <v>7</v>
      </c>
      <c r="AJ409" t="n">
        <v>8</v>
      </c>
      <c r="AK409" t="n">
        <v>9</v>
      </c>
      <c r="AL409" t="n">
        <v>12</v>
      </c>
      <c r="AM409" t="n">
        <v>13</v>
      </c>
      <c r="AN409" t="n">
        <v>1</v>
      </c>
      <c r="AO409" t="n">
        <v>1</v>
      </c>
      <c r="AP409" t="n">
        <v>0</v>
      </c>
      <c r="AQ409" t="n">
        <v>0</v>
      </c>
      <c r="AR409" t="inlineStr">
        <is>
          <t>No</t>
        </is>
      </c>
      <c r="AS409" t="inlineStr">
        <is>
          <t>Yes</t>
        </is>
      </c>
      <c r="AT409">
        <f>HYPERLINK("http://catalog.hathitrust.org/Record/000150396","HathiTrust Record")</f>
        <v/>
      </c>
      <c r="AU409">
        <f>HYPERLINK("https://creighton-primo.hosted.exlibrisgroup.com/primo-explore/search?tab=default_tab&amp;search_scope=EVERYTHING&amp;vid=01CRU&amp;lang=en_US&amp;offset=0&amp;query=any,contains,991005204689702656","Catalog Record")</f>
        <v/>
      </c>
      <c r="AV409">
        <f>HYPERLINK("http://www.worldcat.org/oclc/8112114","WorldCat Record")</f>
        <v/>
      </c>
      <c r="AW409" t="inlineStr">
        <is>
          <t>4926464397:spa</t>
        </is>
      </c>
      <c r="AX409" t="inlineStr">
        <is>
          <t>8112114</t>
        </is>
      </c>
      <c r="AY409" t="inlineStr">
        <is>
          <t>991005204689702656</t>
        </is>
      </c>
      <c r="AZ409" t="inlineStr">
        <is>
          <t>991005204689702656</t>
        </is>
      </c>
      <c r="BA409" t="inlineStr">
        <is>
          <t>2256994580002656</t>
        </is>
      </c>
      <c r="BB409" t="inlineStr">
        <is>
          <t>BOOK</t>
        </is>
      </c>
      <c r="BD409" t="inlineStr">
        <is>
          <t>9788485511044</t>
        </is>
      </c>
      <c r="BE409" t="inlineStr">
        <is>
          <t>32285001363646</t>
        </is>
      </c>
      <c r="BF409" t="inlineStr">
        <is>
          <t>893514228</t>
        </is>
      </c>
    </row>
    <row r="410">
      <c r="A410" t="inlineStr">
        <is>
          <t>No</t>
        </is>
      </c>
      <c r="B410" t="inlineStr">
        <is>
          <t>CURAL</t>
        </is>
      </c>
      <c r="C410" t="inlineStr">
        <is>
          <t>SHELVES</t>
        </is>
      </c>
      <c r="D410" t="inlineStr">
        <is>
          <t>PQ6032 .S73 2001 v.1</t>
        </is>
      </c>
      <c r="E410" t="inlineStr">
        <is>
          <t>0                      PQ 6032000S  73          2001                                        v.1</t>
        </is>
      </c>
      <c r="F410" t="inlineStr">
        <is>
          <t>Spanish literature : current debates on Hispanism / edited with introductions by David William Foster, Daniel Altamiranda, Carmen de Urioste.</t>
        </is>
      </c>
      <c r="G410" t="inlineStr">
        <is>
          <t>V. 1</t>
        </is>
      </c>
      <c r="H410" t="inlineStr">
        <is>
          <t>No</t>
        </is>
      </c>
      <c r="I410" t="inlineStr">
        <is>
          <t>1</t>
        </is>
      </c>
      <c r="J410" t="inlineStr">
        <is>
          <t>No</t>
        </is>
      </c>
      <c r="K410" t="inlineStr">
        <is>
          <t>No</t>
        </is>
      </c>
      <c r="L410" t="inlineStr">
        <is>
          <t>0</t>
        </is>
      </c>
      <c r="N410" t="inlineStr">
        <is>
          <t>New York : Garland Pub., 2001.</t>
        </is>
      </c>
      <c r="O410" t="inlineStr">
        <is>
          <t>2001</t>
        </is>
      </c>
      <c r="Q410" t="inlineStr">
        <is>
          <t>eng</t>
        </is>
      </c>
      <c r="R410" t="inlineStr">
        <is>
          <t>nyu</t>
        </is>
      </c>
      <c r="S410" t="inlineStr">
        <is>
          <t>Spanish literature ; 1</t>
        </is>
      </c>
      <c r="T410" t="inlineStr">
        <is>
          <t xml:space="preserve">PQ </t>
        </is>
      </c>
      <c r="U410" t="n">
        <v>1</v>
      </c>
      <c r="V410" t="n">
        <v>1</v>
      </c>
      <c r="W410" t="inlineStr">
        <is>
          <t>2001-03-07</t>
        </is>
      </c>
      <c r="X410" t="inlineStr">
        <is>
          <t>2001-03-07</t>
        </is>
      </c>
      <c r="Y410" t="inlineStr">
        <is>
          <t>2001-03-07</t>
        </is>
      </c>
      <c r="Z410" t="inlineStr">
        <is>
          <t>2001-03-07</t>
        </is>
      </c>
      <c r="AA410" t="n">
        <v>171</v>
      </c>
      <c r="AB410" t="n">
        <v>148</v>
      </c>
      <c r="AC410" t="n">
        <v>182</v>
      </c>
      <c r="AD410" t="n">
        <v>2</v>
      </c>
      <c r="AE410" t="n">
        <v>2</v>
      </c>
      <c r="AF410" t="n">
        <v>9</v>
      </c>
      <c r="AG410" t="n">
        <v>10</v>
      </c>
      <c r="AH410" t="n">
        <v>3</v>
      </c>
      <c r="AI410" t="n">
        <v>3</v>
      </c>
      <c r="AJ410" t="n">
        <v>3</v>
      </c>
      <c r="AK410" t="n">
        <v>4</v>
      </c>
      <c r="AL410" t="n">
        <v>5</v>
      </c>
      <c r="AM410" t="n">
        <v>6</v>
      </c>
      <c r="AN410" t="n">
        <v>1</v>
      </c>
      <c r="AO410" t="n">
        <v>1</v>
      </c>
      <c r="AP410" t="n">
        <v>0</v>
      </c>
      <c r="AQ410" t="n">
        <v>0</v>
      </c>
      <c r="AR410" t="inlineStr">
        <is>
          <t>No</t>
        </is>
      </c>
      <c r="AS410" t="inlineStr">
        <is>
          <t>No</t>
        </is>
      </c>
      <c r="AU410">
        <f>HYPERLINK("https://creighton-primo.hosted.exlibrisgroup.com/primo-explore/search?tab=default_tab&amp;search_scope=EVERYTHING&amp;vid=01CRU&amp;lang=en_US&amp;offset=0&amp;query=any,contains,991003508049702656","Catalog Record")</f>
        <v/>
      </c>
      <c r="AV410">
        <f>HYPERLINK("http://www.worldcat.org/oclc/45223599","WorldCat Record")</f>
        <v/>
      </c>
      <c r="AW410" t="inlineStr">
        <is>
          <t>2866555447:eng</t>
        </is>
      </c>
      <c r="AX410" t="inlineStr">
        <is>
          <t>45223599</t>
        </is>
      </c>
      <c r="AY410" t="inlineStr">
        <is>
          <t>991003508049702656</t>
        </is>
      </c>
      <c r="AZ410" t="inlineStr">
        <is>
          <t>991003508049702656</t>
        </is>
      </c>
      <c r="BA410" t="inlineStr">
        <is>
          <t>2264847630002656</t>
        </is>
      </c>
      <c r="BB410" t="inlineStr">
        <is>
          <t>BOOK</t>
        </is>
      </c>
      <c r="BD410" t="inlineStr">
        <is>
          <t>9780815335634</t>
        </is>
      </c>
      <c r="BE410" t="inlineStr">
        <is>
          <t>32285004299862</t>
        </is>
      </c>
      <c r="BF410" t="inlineStr">
        <is>
          <t>893342634</t>
        </is>
      </c>
    </row>
    <row r="411">
      <c r="A411" t="inlineStr">
        <is>
          <t>No</t>
        </is>
      </c>
      <c r="B411" t="inlineStr">
        <is>
          <t>CURAL</t>
        </is>
      </c>
      <c r="C411" t="inlineStr">
        <is>
          <t>SHELVES</t>
        </is>
      </c>
      <c r="D411" t="inlineStr">
        <is>
          <t>PQ6033 .C45</t>
        </is>
      </c>
      <c r="E411" t="inlineStr">
        <is>
          <t>0                      PQ 6033000C  45</t>
        </is>
      </c>
      <c r="F411" t="inlineStr">
        <is>
          <t>A new history of Spanish literature / [by] Richard E. Chandler [and] Kessel Schwartz.</t>
        </is>
      </c>
      <c r="H411" t="inlineStr">
        <is>
          <t>No</t>
        </is>
      </c>
      <c r="I411" t="inlineStr">
        <is>
          <t>1</t>
        </is>
      </c>
      <c r="J411" t="inlineStr">
        <is>
          <t>No</t>
        </is>
      </c>
      <c r="K411" t="inlineStr">
        <is>
          <t>No</t>
        </is>
      </c>
      <c r="L411" t="inlineStr">
        <is>
          <t>0</t>
        </is>
      </c>
      <c r="M411" t="inlineStr">
        <is>
          <t>Chandler, Richard E. (Richard Eugene), 1916-2008.</t>
        </is>
      </c>
      <c r="N411" t="inlineStr">
        <is>
          <t>Baton Rouge : Louisiana State University Press, [1961]</t>
        </is>
      </c>
      <c r="O411" t="inlineStr">
        <is>
          <t>1961</t>
        </is>
      </c>
      <c r="Q411" t="inlineStr">
        <is>
          <t>eng</t>
        </is>
      </c>
      <c r="R411" t="inlineStr">
        <is>
          <t>lau</t>
        </is>
      </c>
      <c r="T411" t="inlineStr">
        <is>
          <t xml:space="preserve">PQ </t>
        </is>
      </c>
      <c r="U411" t="n">
        <v>4</v>
      </c>
      <c r="V411" t="n">
        <v>4</v>
      </c>
      <c r="W411" t="inlineStr">
        <is>
          <t>1996-12-01</t>
        </is>
      </c>
      <c r="X411" t="inlineStr">
        <is>
          <t>1996-12-01</t>
        </is>
      </c>
      <c r="Y411" t="inlineStr">
        <is>
          <t>1995-08-24</t>
        </is>
      </c>
      <c r="Z411" t="inlineStr">
        <is>
          <t>1995-08-24</t>
        </is>
      </c>
      <c r="AA411" t="n">
        <v>1441</v>
      </c>
      <c r="AB411" t="n">
        <v>1325</v>
      </c>
      <c r="AC411" t="n">
        <v>1641</v>
      </c>
      <c r="AD411" t="n">
        <v>14</v>
      </c>
      <c r="AE411" t="n">
        <v>16</v>
      </c>
      <c r="AF411" t="n">
        <v>44</v>
      </c>
      <c r="AG411" t="n">
        <v>53</v>
      </c>
      <c r="AH411" t="n">
        <v>19</v>
      </c>
      <c r="AI411" t="n">
        <v>24</v>
      </c>
      <c r="AJ411" t="n">
        <v>7</v>
      </c>
      <c r="AK411" t="n">
        <v>9</v>
      </c>
      <c r="AL411" t="n">
        <v>15</v>
      </c>
      <c r="AM411" t="n">
        <v>20</v>
      </c>
      <c r="AN411" t="n">
        <v>10</v>
      </c>
      <c r="AO411" t="n">
        <v>11</v>
      </c>
      <c r="AP411" t="n">
        <v>0</v>
      </c>
      <c r="AQ411" t="n">
        <v>0</v>
      </c>
      <c r="AR411" t="inlineStr">
        <is>
          <t>No</t>
        </is>
      </c>
      <c r="AS411" t="inlineStr">
        <is>
          <t>No</t>
        </is>
      </c>
      <c r="AU411">
        <f>HYPERLINK("https://creighton-primo.hosted.exlibrisgroup.com/primo-explore/search?tab=default_tab&amp;search_scope=EVERYTHING&amp;vid=01CRU&amp;lang=en_US&amp;offset=0&amp;query=any,contains,991002427379702656","Catalog Record")</f>
        <v/>
      </c>
      <c r="AV411">
        <f>HYPERLINK("http://www.worldcat.org/oclc/345356","WorldCat Record")</f>
        <v/>
      </c>
      <c r="AW411" t="inlineStr">
        <is>
          <t>3901084888:eng</t>
        </is>
      </c>
      <c r="AX411" t="inlineStr">
        <is>
          <t>345356</t>
        </is>
      </c>
      <c r="AY411" t="inlineStr">
        <is>
          <t>991002427379702656</t>
        </is>
      </c>
      <c r="AZ411" t="inlineStr">
        <is>
          <t>991002427379702656</t>
        </is>
      </c>
      <c r="BA411" t="inlineStr">
        <is>
          <t>2269800190002656</t>
        </is>
      </c>
      <c r="BB411" t="inlineStr">
        <is>
          <t>BOOK</t>
        </is>
      </c>
      <c r="BE411" t="inlineStr">
        <is>
          <t>32285002065307</t>
        </is>
      </c>
      <c r="BF411" t="inlineStr">
        <is>
          <t>893616104</t>
        </is>
      </c>
    </row>
    <row r="412">
      <c r="A412" t="inlineStr">
        <is>
          <t>No</t>
        </is>
      </c>
      <c r="B412" t="inlineStr">
        <is>
          <t>CURAL</t>
        </is>
      </c>
      <c r="C412" t="inlineStr">
        <is>
          <t>SHELVES</t>
        </is>
      </c>
      <c r="D412" t="inlineStr">
        <is>
          <t>PQ6033 .F6 1898</t>
        </is>
      </c>
      <c r="E412" t="inlineStr">
        <is>
          <t>0                      PQ 6033000F  6           1898</t>
        </is>
      </c>
      <c r="F412" t="inlineStr">
        <is>
          <t>A history of Spanish literature, by James Fitzmaurice-Kelly ...</t>
        </is>
      </c>
      <c r="H412" t="inlineStr">
        <is>
          <t>No</t>
        </is>
      </c>
      <c r="I412" t="inlineStr">
        <is>
          <t>1</t>
        </is>
      </c>
      <c r="J412" t="inlineStr">
        <is>
          <t>No</t>
        </is>
      </c>
      <c r="K412" t="inlineStr">
        <is>
          <t>No</t>
        </is>
      </c>
      <c r="L412" t="inlineStr">
        <is>
          <t>0</t>
        </is>
      </c>
      <c r="M412" t="inlineStr">
        <is>
          <t>Fitzmaurice-Kelly, James, 1858-1923.</t>
        </is>
      </c>
      <c r="N412" t="inlineStr">
        <is>
          <t>New York, D. Appleton and Company, 1898.</t>
        </is>
      </c>
      <c r="O412" t="inlineStr">
        <is>
          <t>1898</t>
        </is>
      </c>
      <c r="Q412" t="inlineStr">
        <is>
          <t>eng</t>
        </is>
      </c>
      <c r="R412" t="inlineStr">
        <is>
          <t>nyu</t>
        </is>
      </c>
      <c r="S412" t="inlineStr">
        <is>
          <t>Short histories of the literatures of the world</t>
        </is>
      </c>
      <c r="T412" t="inlineStr">
        <is>
          <t xml:space="preserve">PQ </t>
        </is>
      </c>
      <c r="U412" t="n">
        <v>1</v>
      </c>
      <c r="V412" t="n">
        <v>1</v>
      </c>
      <c r="W412" t="inlineStr">
        <is>
          <t>2001-12-01</t>
        </is>
      </c>
      <c r="X412" t="inlineStr">
        <is>
          <t>2001-12-01</t>
        </is>
      </c>
      <c r="Y412" t="inlineStr">
        <is>
          <t>1997-06-25</t>
        </is>
      </c>
      <c r="Z412" t="inlineStr">
        <is>
          <t>1997-06-25</t>
        </is>
      </c>
      <c r="AA412" t="n">
        <v>343</v>
      </c>
      <c r="AB412" t="n">
        <v>325</v>
      </c>
      <c r="AC412" t="n">
        <v>526</v>
      </c>
      <c r="AD412" t="n">
        <v>5</v>
      </c>
      <c r="AE412" t="n">
        <v>8</v>
      </c>
      <c r="AF412" t="n">
        <v>19</v>
      </c>
      <c r="AG412" t="n">
        <v>27</v>
      </c>
      <c r="AH412" t="n">
        <v>3</v>
      </c>
      <c r="AI412" t="n">
        <v>5</v>
      </c>
      <c r="AJ412" t="n">
        <v>5</v>
      </c>
      <c r="AK412" t="n">
        <v>5</v>
      </c>
      <c r="AL412" t="n">
        <v>12</v>
      </c>
      <c r="AM412" t="n">
        <v>15</v>
      </c>
      <c r="AN412" t="n">
        <v>4</v>
      </c>
      <c r="AO412" t="n">
        <v>7</v>
      </c>
      <c r="AP412" t="n">
        <v>0</v>
      </c>
      <c r="AQ412" t="n">
        <v>0</v>
      </c>
      <c r="AR412" t="inlineStr">
        <is>
          <t>Yes</t>
        </is>
      </c>
      <c r="AS412" t="inlineStr">
        <is>
          <t>No</t>
        </is>
      </c>
      <c r="AT412">
        <f>HYPERLINK("http://catalog.hathitrust.org/Record/001517854","HathiTrust Record")</f>
        <v/>
      </c>
      <c r="AU412">
        <f>HYPERLINK("https://creighton-primo.hosted.exlibrisgroup.com/primo-explore/search?tab=default_tab&amp;search_scope=EVERYTHING&amp;vid=01CRU&amp;lang=en_US&amp;offset=0&amp;query=any,contains,991003048589702656","Catalog Record")</f>
        <v/>
      </c>
      <c r="AV412">
        <f>HYPERLINK("http://www.worldcat.org/oclc/609074","WorldCat Record")</f>
        <v/>
      </c>
      <c r="AW412" t="inlineStr">
        <is>
          <t>4820445543:eng</t>
        </is>
      </c>
      <c r="AX412" t="inlineStr">
        <is>
          <t>609074</t>
        </is>
      </c>
      <c r="AY412" t="inlineStr">
        <is>
          <t>991003048589702656</t>
        </is>
      </c>
      <c r="AZ412" t="inlineStr">
        <is>
          <t>991003048589702656</t>
        </is>
      </c>
      <c r="BA412" t="inlineStr">
        <is>
          <t>2254746910002656</t>
        </is>
      </c>
      <c r="BB412" t="inlineStr">
        <is>
          <t>BOOK</t>
        </is>
      </c>
      <c r="BE412" t="inlineStr">
        <is>
          <t>32285002515681</t>
        </is>
      </c>
      <c r="BF412" t="inlineStr">
        <is>
          <t>893717265</t>
        </is>
      </c>
    </row>
    <row r="413">
      <c r="A413" t="inlineStr">
        <is>
          <t>No</t>
        </is>
      </c>
      <c r="B413" t="inlineStr">
        <is>
          <t>CURAL</t>
        </is>
      </c>
      <c r="C413" t="inlineStr">
        <is>
          <t>SHELVES</t>
        </is>
      </c>
      <c r="D413" t="inlineStr">
        <is>
          <t>PQ6033 .F6 1926</t>
        </is>
      </c>
      <c r="E413" t="inlineStr">
        <is>
          <t>0                      PQ 6033000F  6           1926</t>
        </is>
      </c>
      <c r="F413" t="inlineStr">
        <is>
          <t>A new history of Spanish literature / by James Fitzmaurice-Kelly, F.B.A.</t>
        </is>
      </c>
      <c r="H413" t="inlineStr">
        <is>
          <t>No</t>
        </is>
      </c>
      <c r="I413" t="inlineStr">
        <is>
          <t>1</t>
        </is>
      </c>
      <c r="J413" t="inlineStr">
        <is>
          <t>No</t>
        </is>
      </c>
      <c r="K413" t="inlineStr">
        <is>
          <t>No</t>
        </is>
      </c>
      <c r="L413" t="inlineStr">
        <is>
          <t>0</t>
        </is>
      </c>
      <c r="M413" t="inlineStr">
        <is>
          <t>Fitzmaurice-Kelly, James, 1858-1923.</t>
        </is>
      </c>
      <c r="N413" t="inlineStr">
        <is>
          <t>London, New York [etc.] H. Milford, Oxford University Press, 1926.</t>
        </is>
      </c>
      <c r="O413" t="inlineStr">
        <is>
          <t>1926</t>
        </is>
      </c>
      <c r="Q413" t="inlineStr">
        <is>
          <t>eng</t>
        </is>
      </c>
      <c r="R413" t="inlineStr">
        <is>
          <t>enk</t>
        </is>
      </c>
      <c r="T413" t="inlineStr">
        <is>
          <t xml:space="preserve">PQ </t>
        </is>
      </c>
      <c r="U413" t="n">
        <v>2</v>
      </c>
      <c r="V413" t="n">
        <v>2</v>
      </c>
      <c r="W413" t="inlineStr">
        <is>
          <t>1998-10-29</t>
        </is>
      </c>
      <c r="X413" t="inlineStr">
        <is>
          <t>1998-10-29</t>
        </is>
      </c>
      <c r="Y413" t="inlineStr">
        <is>
          <t>1997-07-08</t>
        </is>
      </c>
      <c r="Z413" t="inlineStr">
        <is>
          <t>1997-07-08</t>
        </is>
      </c>
      <c r="AA413" t="n">
        <v>335</v>
      </c>
      <c r="AB413" t="n">
        <v>273</v>
      </c>
      <c r="AC413" t="n">
        <v>460</v>
      </c>
      <c r="AD413" t="n">
        <v>2</v>
      </c>
      <c r="AE413" t="n">
        <v>3</v>
      </c>
      <c r="AF413" t="n">
        <v>14</v>
      </c>
      <c r="AG413" t="n">
        <v>20</v>
      </c>
      <c r="AH413" t="n">
        <v>3</v>
      </c>
      <c r="AI413" t="n">
        <v>6</v>
      </c>
      <c r="AJ413" t="n">
        <v>4</v>
      </c>
      <c r="AK413" t="n">
        <v>6</v>
      </c>
      <c r="AL413" t="n">
        <v>10</v>
      </c>
      <c r="AM413" t="n">
        <v>12</v>
      </c>
      <c r="AN413" t="n">
        <v>1</v>
      </c>
      <c r="AO413" t="n">
        <v>2</v>
      </c>
      <c r="AP413" t="n">
        <v>0</v>
      </c>
      <c r="AQ413" t="n">
        <v>0</v>
      </c>
      <c r="AR413" t="inlineStr">
        <is>
          <t>Yes</t>
        </is>
      </c>
      <c r="AS413" t="inlineStr">
        <is>
          <t>No</t>
        </is>
      </c>
      <c r="AT413">
        <f>HYPERLINK("http://catalog.hathitrust.org/Record/001111541","HathiTrust Record")</f>
        <v/>
      </c>
      <c r="AU413">
        <f>HYPERLINK("https://creighton-primo.hosted.exlibrisgroup.com/primo-explore/search?tab=default_tab&amp;search_scope=EVERYTHING&amp;vid=01CRU&amp;lang=en_US&amp;offset=0&amp;query=any,contains,991003474289702656","Catalog Record")</f>
        <v/>
      </c>
      <c r="AV413">
        <f>HYPERLINK("http://www.worldcat.org/oclc/1017908","WorldCat Record")</f>
        <v/>
      </c>
      <c r="AW413" t="inlineStr">
        <is>
          <t>3901028754:eng</t>
        </is>
      </c>
      <c r="AX413" t="inlineStr">
        <is>
          <t>1017908</t>
        </is>
      </c>
      <c r="AY413" t="inlineStr">
        <is>
          <t>991003474289702656</t>
        </is>
      </c>
      <c r="AZ413" t="inlineStr">
        <is>
          <t>991003474289702656</t>
        </is>
      </c>
      <c r="BA413" t="inlineStr">
        <is>
          <t>2258890170002656</t>
        </is>
      </c>
      <c r="BB413" t="inlineStr">
        <is>
          <t>BOOK</t>
        </is>
      </c>
      <c r="BE413" t="inlineStr">
        <is>
          <t>32285002515699</t>
        </is>
      </c>
      <c r="BF413" t="inlineStr">
        <is>
          <t>893805806</t>
        </is>
      </c>
    </row>
    <row r="414">
      <c r="A414" t="inlineStr">
        <is>
          <t>No</t>
        </is>
      </c>
      <c r="B414" t="inlineStr">
        <is>
          <t>CURAL</t>
        </is>
      </c>
      <c r="C414" t="inlineStr">
        <is>
          <t>SHELVES</t>
        </is>
      </c>
      <c r="D414" t="inlineStr">
        <is>
          <t>PQ6033 .F75 1968</t>
        </is>
      </c>
      <c r="E414" t="inlineStr">
        <is>
          <t>0                      PQ 6033000F  75          1968</t>
        </is>
      </c>
      <c r="F414" t="inlineStr">
        <is>
          <t>Main currents of Spanish literature.</t>
        </is>
      </c>
      <c r="H414" t="inlineStr">
        <is>
          <t>No</t>
        </is>
      </c>
      <c r="I414" t="inlineStr">
        <is>
          <t>1</t>
        </is>
      </c>
      <c r="J414" t="inlineStr">
        <is>
          <t>No</t>
        </is>
      </c>
      <c r="K414" t="inlineStr">
        <is>
          <t>No</t>
        </is>
      </c>
      <c r="L414" t="inlineStr">
        <is>
          <t>0</t>
        </is>
      </c>
      <c r="M414" t="inlineStr">
        <is>
          <t>Ford, J. D. M. (Jeremiah Denis Matthias), 1873-1958.</t>
        </is>
      </c>
      <c r="N414" t="inlineStr">
        <is>
          <t>New York, Biblo and Tannen, 1968 [c1919]</t>
        </is>
      </c>
      <c r="O414" t="inlineStr">
        <is>
          <t>1968</t>
        </is>
      </c>
      <c r="Q414" t="inlineStr">
        <is>
          <t>eng</t>
        </is>
      </c>
      <c r="R414" t="inlineStr">
        <is>
          <t>nyu</t>
        </is>
      </c>
      <c r="T414" t="inlineStr">
        <is>
          <t xml:space="preserve">PQ </t>
        </is>
      </c>
      <c r="U414" t="n">
        <v>4</v>
      </c>
      <c r="V414" t="n">
        <v>4</v>
      </c>
      <c r="W414" t="inlineStr">
        <is>
          <t>2001-12-01</t>
        </is>
      </c>
      <c r="X414" t="inlineStr">
        <is>
          <t>2001-12-01</t>
        </is>
      </c>
      <c r="Y414" t="inlineStr">
        <is>
          <t>1997-06-25</t>
        </is>
      </c>
      <c r="Z414" t="inlineStr">
        <is>
          <t>1997-06-25</t>
        </is>
      </c>
      <c r="AA414" t="n">
        <v>194</v>
      </c>
      <c r="AB414" t="n">
        <v>175</v>
      </c>
      <c r="AC414" t="n">
        <v>573</v>
      </c>
      <c r="AD414" t="n">
        <v>2</v>
      </c>
      <c r="AE414" t="n">
        <v>6</v>
      </c>
      <c r="AF414" t="n">
        <v>8</v>
      </c>
      <c r="AG414" t="n">
        <v>30</v>
      </c>
      <c r="AH414" t="n">
        <v>1</v>
      </c>
      <c r="AI414" t="n">
        <v>8</v>
      </c>
      <c r="AJ414" t="n">
        <v>2</v>
      </c>
      <c r="AK414" t="n">
        <v>6</v>
      </c>
      <c r="AL414" t="n">
        <v>4</v>
      </c>
      <c r="AM414" t="n">
        <v>17</v>
      </c>
      <c r="AN414" t="n">
        <v>1</v>
      </c>
      <c r="AO414" t="n">
        <v>5</v>
      </c>
      <c r="AP414" t="n">
        <v>0</v>
      </c>
      <c r="AQ414" t="n">
        <v>0</v>
      </c>
      <c r="AR414" t="inlineStr">
        <is>
          <t>No</t>
        </is>
      </c>
      <c r="AS414" t="inlineStr">
        <is>
          <t>Yes</t>
        </is>
      </c>
      <c r="AT414">
        <f>HYPERLINK("http://catalog.hathitrust.org/Record/006710333","HathiTrust Record")</f>
        <v/>
      </c>
      <c r="AU414">
        <f>HYPERLINK("https://creighton-primo.hosted.exlibrisgroup.com/primo-explore/search?tab=default_tab&amp;search_scope=EVERYTHING&amp;vid=01CRU&amp;lang=en_US&amp;offset=0&amp;query=any,contains,991002773709702656","Catalog Record")</f>
        <v/>
      </c>
      <c r="AV414">
        <f>HYPERLINK("http://www.worldcat.org/oclc/437962","WorldCat Record")</f>
        <v/>
      </c>
      <c r="AW414" t="inlineStr">
        <is>
          <t>484375:eng</t>
        </is>
      </c>
      <c r="AX414" t="inlineStr">
        <is>
          <t>437962</t>
        </is>
      </c>
      <c r="AY414" t="inlineStr">
        <is>
          <t>991002773709702656</t>
        </is>
      </c>
      <c r="AZ414" t="inlineStr">
        <is>
          <t>991002773709702656</t>
        </is>
      </c>
      <c r="BA414" t="inlineStr">
        <is>
          <t>2268011250002656</t>
        </is>
      </c>
      <c r="BB414" t="inlineStr">
        <is>
          <t>BOOK</t>
        </is>
      </c>
      <c r="BE414" t="inlineStr">
        <is>
          <t>32285002515715</t>
        </is>
      </c>
      <c r="BF414" t="inlineStr">
        <is>
          <t>893616558</t>
        </is>
      </c>
    </row>
    <row r="415">
      <c r="A415" t="inlineStr">
        <is>
          <t>No</t>
        </is>
      </c>
      <c r="B415" t="inlineStr">
        <is>
          <t>CURAL</t>
        </is>
      </c>
      <c r="C415" t="inlineStr">
        <is>
          <t>SHELVES</t>
        </is>
      </c>
      <c r="D415" t="inlineStr">
        <is>
          <t>PQ6033 .T5 1854</t>
        </is>
      </c>
      <c r="E415" t="inlineStr">
        <is>
          <t>0                      PQ 6033000T  5           1854</t>
        </is>
      </c>
      <c r="F415" t="inlineStr">
        <is>
          <t>History of Spanish literature.</t>
        </is>
      </c>
      <c r="G415" t="inlineStr">
        <is>
          <t>V. 3</t>
        </is>
      </c>
      <c r="H415" t="inlineStr">
        <is>
          <t>Yes</t>
        </is>
      </c>
      <c r="I415" t="inlineStr">
        <is>
          <t>1</t>
        </is>
      </c>
      <c r="J415" t="inlineStr">
        <is>
          <t>No</t>
        </is>
      </c>
      <c r="K415" t="inlineStr">
        <is>
          <t>No</t>
        </is>
      </c>
      <c r="L415" t="inlineStr">
        <is>
          <t>0</t>
        </is>
      </c>
      <c r="M415" t="inlineStr">
        <is>
          <t>Ticknor, George, 1791-1871.</t>
        </is>
      </c>
      <c r="N415" t="inlineStr">
        <is>
          <t>New York, Harper and Brothers, 1854.</t>
        </is>
      </c>
      <c r="O415" t="inlineStr">
        <is>
          <t>1854</t>
        </is>
      </c>
      <c r="P415" t="inlineStr">
        <is>
          <t>2d ed.</t>
        </is>
      </c>
      <c r="Q415" t="inlineStr">
        <is>
          <t>eng</t>
        </is>
      </c>
      <c r="R415" t="inlineStr">
        <is>
          <t xml:space="preserve">xx </t>
        </is>
      </c>
      <c r="T415" t="inlineStr">
        <is>
          <t xml:space="preserve">PQ </t>
        </is>
      </c>
      <c r="U415" t="n">
        <v>0</v>
      </c>
      <c r="V415" t="n">
        <v>3</v>
      </c>
      <c r="X415" t="inlineStr">
        <is>
          <t>2001-09-26</t>
        </is>
      </c>
      <c r="Y415" t="inlineStr">
        <is>
          <t>1997-06-25</t>
        </is>
      </c>
      <c r="Z415" t="inlineStr">
        <is>
          <t>1997-06-25</t>
        </is>
      </c>
      <c r="AA415" t="n">
        <v>112</v>
      </c>
      <c r="AB415" t="n">
        <v>105</v>
      </c>
      <c r="AC415" t="n">
        <v>309</v>
      </c>
      <c r="AD415" t="n">
        <v>2</v>
      </c>
      <c r="AE415" t="n">
        <v>2</v>
      </c>
      <c r="AF415" t="n">
        <v>7</v>
      </c>
      <c r="AG415" t="n">
        <v>14</v>
      </c>
      <c r="AH415" t="n">
        <v>0</v>
      </c>
      <c r="AI415" t="n">
        <v>1</v>
      </c>
      <c r="AJ415" t="n">
        <v>2</v>
      </c>
      <c r="AK415" t="n">
        <v>3</v>
      </c>
      <c r="AL415" t="n">
        <v>5</v>
      </c>
      <c r="AM415" t="n">
        <v>10</v>
      </c>
      <c r="AN415" t="n">
        <v>1</v>
      </c>
      <c r="AO415" t="n">
        <v>1</v>
      </c>
      <c r="AP415" t="n">
        <v>0</v>
      </c>
      <c r="AQ415" t="n">
        <v>0</v>
      </c>
      <c r="AR415" t="inlineStr">
        <is>
          <t>Yes</t>
        </is>
      </c>
      <c r="AS415" t="inlineStr">
        <is>
          <t>No</t>
        </is>
      </c>
      <c r="AT415">
        <f>HYPERLINK("http://catalog.hathitrust.org/Record/001518632","HathiTrust Record")</f>
        <v/>
      </c>
      <c r="AU415">
        <f>HYPERLINK("https://creighton-primo.hosted.exlibrisgroup.com/primo-explore/search?tab=default_tab&amp;search_scope=EVERYTHING&amp;vid=01CRU&amp;lang=en_US&amp;offset=0&amp;query=any,contains,991004184079702656","Catalog Record")</f>
        <v/>
      </c>
      <c r="AV415">
        <f>HYPERLINK("http://www.worldcat.org/oclc/2613481","WorldCat Record")</f>
        <v/>
      </c>
      <c r="AW415" t="inlineStr">
        <is>
          <t>9322931024:eng</t>
        </is>
      </c>
      <c r="AX415" t="inlineStr">
        <is>
          <t>2613481</t>
        </is>
      </c>
      <c r="AY415" t="inlineStr">
        <is>
          <t>991004184079702656</t>
        </is>
      </c>
      <c r="AZ415" t="inlineStr">
        <is>
          <t>991004184079702656</t>
        </is>
      </c>
      <c r="BA415" t="inlineStr">
        <is>
          <t>2262625290002656</t>
        </is>
      </c>
      <c r="BB415" t="inlineStr">
        <is>
          <t>BOOK</t>
        </is>
      </c>
      <c r="BE415" t="inlineStr">
        <is>
          <t>32285002515756</t>
        </is>
      </c>
      <c r="BF415" t="inlineStr">
        <is>
          <t>893442317</t>
        </is>
      </c>
    </row>
    <row r="416">
      <c r="A416" t="inlineStr">
        <is>
          <t>No</t>
        </is>
      </c>
      <c r="B416" t="inlineStr">
        <is>
          <t>CURAL</t>
        </is>
      </c>
      <c r="C416" t="inlineStr">
        <is>
          <t>SHELVES</t>
        </is>
      </c>
      <c r="D416" t="inlineStr">
        <is>
          <t>PQ6033 .T5 1854</t>
        </is>
      </c>
      <c r="E416" t="inlineStr">
        <is>
          <t>0                      PQ 6033000T  5           1854</t>
        </is>
      </c>
      <c r="F416" t="inlineStr">
        <is>
          <t>History of Spanish literature.</t>
        </is>
      </c>
      <c r="G416" t="inlineStr">
        <is>
          <t>V. 1</t>
        </is>
      </c>
      <c r="H416" t="inlineStr">
        <is>
          <t>Yes</t>
        </is>
      </c>
      <c r="I416" t="inlineStr">
        <is>
          <t>1</t>
        </is>
      </c>
      <c r="J416" t="inlineStr">
        <is>
          <t>No</t>
        </is>
      </c>
      <c r="K416" t="inlineStr">
        <is>
          <t>No</t>
        </is>
      </c>
      <c r="L416" t="inlineStr">
        <is>
          <t>0</t>
        </is>
      </c>
      <c r="M416" t="inlineStr">
        <is>
          <t>Ticknor, George, 1791-1871.</t>
        </is>
      </c>
      <c r="N416" t="inlineStr">
        <is>
          <t>New York, Harper and Brothers, 1854.</t>
        </is>
      </c>
      <c r="O416" t="inlineStr">
        <is>
          <t>1854</t>
        </is>
      </c>
      <c r="P416" t="inlineStr">
        <is>
          <t>2d ed.</t>
        </is>
      </c>
      <c r="Q416" t="inlineStr">
        <is>
          <t>eng</t>
        </is>
      </c>
      <c r="R416" t="inlineStr">
        <is>
          <t xml:space="preserve">xx </t>
        </is>
      </c>
      <c r="T416" t="inlineStr">
        <is>
          <t xml:space="preserve">PQ </t>
        </is>
      </c>
      <c r="U416" t="n">
        <v>3</v>
      </c>
      <c r="V416" t="n">
        <v>3</v>
      </c>
      <c r="W416" t="inlineStr">
        <is>
          <t>2001-09-26</t>
        </is>
      </c>
      <c r="X416" t="inlineStr">
        <is>
          <t>2001-09-26</t>
        </is>
      </c>
      <c r="Y416" t="inlineStr">
        <is>
          <t>1997-06-25</t>
        </is>
      </c>
      <c r="Z416" t="inlineStr">
        <is>
          <t>1997-06-25</t>
        </is>
      </c>
      <c r="AA416" t="n">
        <v>112</v>
      </c>
      <c r="AB416" t="n">
        <v>105</v>
      </c>
      <c r="AC416" t="n">
        <v>309</v>
      </c>
      <c r="AD416" t="n">
        <v>2</v>
      </c>
      <c r="AE416" t="n">
        <v>2</v>
      </c>
      <c r="AF416" t="n">
        <v>7</v>
      </c>
      <c r="AG416" t="n">
        <v>14</v>
      </c>
      <c r="AH416" t="n">
        <v>0</v>
      </c>
      <c r="AI416" t="n">
        <v>1</v>
      </c>
      <c r="AJ416" t="n">
        <v>2</v>
      </c>
      <c r="AK416" t="n">
        <v>3</v>
      </c>
      <c r="AL416" t="n">
        <v>5</v>
      </c>
      <c r="AM416" t="n">
        <v>10</v>
      </c>
      <c r="AN416" t="n">
        <v>1</v>
      </c>
      <c r="AO416" t="n">
        <v>1</v>
      </c>
      <c r="AP416" t="n">
        <v>0</v>
      </c>
      <c r="AQ416" t="n">
        <v>0</v>
      </c>
      <c r="AR416" t="inlineStr">
        <is>
          <t>Yes</t>
        </is>
      </c>
      <c r="AS416" t="inlineStr">
        <is>
          <t>No</t>
        </is>
      </c>
      <c r="AT416">
        <f>HYPERLINK("http://catalog.hathitrust.org/Record/001518632","HathiTrust Record")</f>
        <v/>
      </c>
      <c r="AU416">
        <f>HYPERLINK("https://creighton-primo.hosted.exlibrisgroup.com/primo-explore/search?tab=default_tab&amp;search_scope=EVERYTHING&amp;vid=01CRU&amp;lang=en_US&amp;offset=0&amp;query=any,contains,991004184079702656","Catalog Record")</f>
        <v/>
      </c>
      <c r="AV416">
        <f>HYPERLINK("http://www.worldcat.org/oclc/2613481","WorldCat Record")</f>
        <v/>
      </c>
      <c r="AW416" t="inlineStr">
        <is>
          <t>9322931024:eng</t>
        </is>
      </c>
      <c r="AX416" t="inlineStr">
        <is>
          <t>2613481</t>
        </is>
      </c>
      <c r="AY416" t="inlineStr">
        <is>
          <t>991004184079702656</t>
        </is>
      </c>
      <c r="AZ416" t="inlineStr">
        <is>
          <t>991004184079702656</t>
        </is>
      </c>
      <c r="BA416" t="inlineStr">
        <is>
          <t>2262625290002656</t>
        </is>
      </c>
      <c r="BB416" t="inlineStr">
        <is>
          <t>BOOK</t>
        </is>
      </c>
      <c r="BE416" t="inlineStr">
        <is>
          <t>32285002515749</t>
        </is>
      </c>
      <c r="BF416" t="inlineStr">
        <is>
          <t>893435988</t>
        </is>
      </c>
    </row>
    <row r="417">
      <c r="A417" t="inlineStr">
        <is>
          <t>No</t>
        </is>
      </c>
      <c r="B417" t="inlineStr">
        <is>
          <t>CURAL</t>
        </is>
      </c>
      <c r="C417" t="inlineStr">
        <is>
          <t>SHELVES</t>
        </is>
      </c>
      <c r="D417" t="inlineStr">
        <is>
          <t>PQ6033 .T5 1854</t>
        </is>
      </c>
      <c r="E417" t="inlineStr">
        <is>
          <t>0                      PQ 6033000T  5           1854</t>
        </is>
      </c>
      <c r="F417" t="inlineStr">
        <is>
          <t>History of Spanish literature.</t>
        </is>
      </c>
      <c r="G417" t="inlineStr">
        <is>
          <t>V. 2</t>
        </is>
      </c>
      <c r="H417" t="inlineStr">
        <is>
          <t>Yes</t>
        </is>
      </c>
      <c r="I417" t="inlineStr">
        <is>
          <t>1</t>
        </is>
      </c>
      <c r="J417" t="inlineStr">
        <is>
          <t>No</t>
        </is>
      </c>
      <c r="K417" t="inlineStr">
        <is>
          <t>No</t>
        </is>
      </c>
      <c r="L417" t="inlineStr">
        <is>
          <t>0</t>
        </is>
      </c>
      <c r="M417" t="inlineStr">
        <is>
          <t>Ticknor, George, 1791-1871.</t>
        </is>
      </c>
      <c r="N417" t="inlineStr">
        <is>
          <t>New York, Harper and Brothers, 1854.</t>
        </is>
      </c>
      <c r="O417" t="inlineStr">
        <is>
          <t>1854</t>
        </is>
      </c>
      <c r="P417" t="inlineStr">
        <is>
          <t>2d ed.</t>
        </is>
      </c>
      <c r="Q417" t="inlineStr">
        <is>
          <t>eng</t>
        </is>
      </c>
      <c r="R417" t="inlineStr">
        <is>
          <t xml:space="preserve">xx </t>
        </is>
      </c>
      <c r="T417" t="inlineStr">
        <is>
          <t xml:space="preserve">PQ </t>
        </is>
      </c>
      <c r="U417" t="n">
        <v>0</v>
      </c>
      <c r="V417" t="n">
        <v>3</v>
      </c>
      <c r="X417" t="inlineStr">
        <is>
          <t>2001-09-26</t>
        </is>
      </c>
      <c r="Y417" t="inlineStr">
        <is>
          <t>1997-06-25</t>
        </is>
      </c>
      <c r="Z417" t="inlineStr">
        <is>
          <t>1997-06-25</t>
        </is>
      </c>
      <c r="AA417" t="n">
        <v>112</v>
      </c>
      <c r="AB417" t="n">
        <v>105</v>
      </c>
      <c r="AC417" t="n">
        <v>309</v>
      </c>
      <c r="AD417" t="n">
        <v>2</v>
      </c>
      <c r="AE417" t="n">
        <v>2</v>
      </c>
      <c r="AF417" t="n">
        <v>7</v>
      </c>
      <c r="AG417" t="n">
        <v>14</v>
      </c>
      <c r="AH417" t="n">
        <v>0</v>
      </c>
      <c r="AI417" t="n">
        <v>1</v>
      </c>
      <c r="AJ417" t="n">
        <v>2</v>
      </c>
      <c r="AK417" t="n">
        <v>3</v>
      </c>
      <c r="AL417" t="n">
        <v>5</v>
      </c>
      <c r="AM417" t="n">
        <v>10</v>
      </c>
      <c r="AN417" t="n">
        <v>1</v>
      </c>
      <c r="AO417" t="n">
        <v>1</v>
      </c>
      <c r="AP417" t="n">
        <v>0</v>
      </c>
      <c r="AQ417" t="n">
        <v>0</v>
      </c>
      <c r="AR417" t="inlineStr">
        <is>
          <t>Yes</t>
        </is>
      </c>
      <c r="AS417" t="inlineStr">
        <is>
          <t>No</t>
        </is>
      </c>
      <c r="AT417">
        <f>HYPERLINK("http://catalog.hathitrust.org/Record/001518632","HathiTrust Record")</f>
        <v/>
      </c>
      <c r="AU417">
        <f>HYPERLINK("https://creighton-primo.hosted.exlibrisgroup.com/primo-explore/search?tab=default_tab&amp;search_scope=EVERYTHING&amp;vid=01CRU&amp;lang=en_US&amp;offset=0&amp;query=any,contains,991004184079702656","Catalog Record")</f>
        <v/>
      </c>
      <c r="AV417">
        <f>HYPERLINK("http://www.worldcat.org/oclc/2613481","WorldCat Record")</f>
        <v/>
      </c>
      <c r="AW417" t="inlineStr">
        <is>
          <t>9322931024:eng</t>
        </is>
      </c>
      <c r="AX417" t="inlineStr">
        <is>
          <t>2613481</t>
        </is>
      </c>
      <c r="AY417" t="inlineStr">
        <is>
          <t>991004184079702656</t>
        </is>
      </c>
      <c r="AZ417" t="inlineStr">
        <is>
          <t>991004184079702656</t>
        </is>
      </c>
      <c r="BA417" t="inlineStr">
        <is>
          <t>2262625290002656</t>
        </is>
      </c>
      <c r="BB417" t="inlineStr">
        <is>
          <t>BOOK</t>
        </is>
      </c>
      <c r="BE417" t="inlineStr">
        <is>
          <t>32285002515731</t>
        </is>
      </c>
      <c r="BF417" t="inlineStr">
        <is>
          <t>893423483</t>
        </is>
      </c>
    </row>
    <row r="418">
      <c r="A418" t="inlineStr">
        <is>
          <t>No</t>
        </is>
      </c>
      <c r="B418" t="inlineStr">
        <is>
          <t>CURAL</t>
        </is>
      </c>
      <c r="C418" t="inlineStr">
        <is>
          <t>SHELVES</t>
        </is>
      </c>
      <c r="D418" t="inlineStr">
        <is>
          <t>PQ6039 .A65 1976</t>
        </is>
      </c>
      <c r="E418" t="inlineStr">
        <is>
          <t>0                      PQ 6039000A  65          1976</t>
        </is>
      </c>
      <c r="F418" t="inlineStr">
        <is>
          <t>Estudios literarios / José Luis L. Aranguren.</t>
        </is>
      </c>
      <c r="H418" t="inlineStr">
        <is>
          <t>No</t>
        </is>
      </c>
      <c r="I418" t="inlineStr">
        <is>
          <t>1</t>
        </is>
      </c>
      <c r="J418" t="inlineStr">
        <is>
          <t>No</t>
        </is>
      </c>
      <c r="K418" t="inlineStr">
        <is>
          <t>No</t>
        </is>
      </c>
      <c r="L418" t="inlineStr">
        <is>
          <t>0</t>
        </is>
      </c>
      <c r="M418" t="inlineStr">
        <is>
          <t>Aranguren, José Luis L., 1909-1996.</t>
        </is>
      </c>
      <c r="N418" t="inlineStr">
        <is>
          <t>Madrid : Gredos, c1976.</t>
        </is>
      </c>
      <c r="O418" t="inlineStr">
        <is>
          <t>1976</t>
        </is>
      </c>
      <c r="Q418" t="inlineStr">
        <is>
          <t>spa</t>
        </is>
      </c>
      <c r="R418" t="inlineStr">
        <is>
          <t xml:space="preserve">sp </t>
        </is>
      </c>
      <c r="S418" t="inlineStr">
        <is>
          <t>Biblioteca románica hispánica ; 2 ; Estudios y ensayos ; 242</t>
        </is>
      </c>
      <c r="T418" t="inlineStr">
        <is>
          <t xml:space="preserve">PQ </t>
        </is>
      </c>
      <c r="U418" t="n">
        <v>2</v>
      </c>
      <c r="V418" t="n">
        <v>2</v>
      </c>
      <c r="W418" t="inlineStr">
        <is>
          <t>2005-04-06</t>
        </is>
      </c>
      <c r="X418" t="inlineStr">
        <is>
          <t>2005-04-06</t>
        </is>
      </c>
      <c r="Y418" t="inlineStr">
        <is>
          <t>2005-04-06</t>
        </is>
      </c>
      <c r="Z418" t="inlineStr">
        <is>
          <t>2005-04-06</t>
        </is>
      </c>
      <c r="AA418" t="n">
        <v>284</v>
      </c>
      <c r="AB418" t="n">
        <v>202</v>
      </c>
      <c r="AC418" t="n">
        <v>203</v>
      </c>
      <c r="AD418" t="n">
        <v>3</v>
      </c>
      <c r="AE418" t="n">
        <v>3</v>
      </c>
      <c r="AF418" t="n">
        <v>12</v>
      </c>
      <c r="AG418" t="n">
        <v>12</v>
      </c>
      <c r="AH418" t="n">
        <v>1</v>
      </c>
      <c r="AI418" t="n">
        <v>1</v>
      </c>
      <c r="AJ418" t="n">
        <v>5</v>
      </c>
      <c r="AK418" t="n">
        <v>5</v>
      </c>
      <c r="AL418" t="n">
        <v>7</v>
      </c>
      <c r="AM418" t="n">
        <v>7</v>
      </c>
      <c r="AN418" t="n">
        <v>2</v>
      </c>
      <c r="AO418" t="n">
        <v>2</v>
      </c>
      <c r="AP418" t="n">
        <v>0</v>
      </c>
      <c r="AQ418" t="n">
        <v>0</v>
      </c>
      <c r="AR418" t="inlineStr">
        <is>
          <t>No</t>
        </is>
      </c>
      <c r="AS418" t="inlineStr">
        <is>
          <t>Yes</t>
        </is>
      </c>
      <c r="AT418">
        <f>HYPERLINK("http://catalog.hathitrust.org/Record/000740127","HathiTrust Record")</f>
        <v/>
      </c>
      <c r="AU418">
        <f>HYPERLINK("https://creighton-primo.hosted.exlibrisgroup.com/primo-explore/search?tab=default_tab&amp;search_scope=EVERYTHING&amp;vid=01CRU&amp;lang=en_US&amp;offset=0&amp;query=any,contains,991004523709702656","Catalog Record")</f>
        <v/>
      </c>
      <c r="AV418">
        <f>HYPERLINK("http://www.worldcat.org/oclc/2596313","WorldCat Record")</f>
        <v/>
      </c>
      <c r="AW418" t="inlineStr">
        <is>
          <t>293051631:spa</t>
        </is>
      </c>
      <c r="AX418" t="inlineStr">
        <is>
          <t>2596313</t>
        </is>
      </c>
      <c r="AY418" t="inlineStr">
        <is>
          <t>991004523709702656</t>
        </is>
      </c>
      <c r="AZ418" t="inlineStr">
        <is>
          <t>991004523709702656</t>
        </is>
      </c>
      <c r="BA418" t="inlineStr">
        <is>
          <t>2268384950002656</t>
        </is>
      </c>
      <c r="BB418" t="inlineStr">
        <is>
          <t>BOOK</t>
        </is>
      </c>
      <c r="BD418" t="inlineStr">
        <is>
          <t>9788424906818</t>
        </is>
      </c>
      <c r="BE418" t="inlineStr">
        <is>
          <t>32285005048433</t>
        </is>
      </c>
      <c r="BF418" t="inlineStr">
        <is>
          <t>893247672</t>
        </is>
      </c>
    </row>
    <row r="419">
      <c r="A419" t="inlineStr">
        <is>
          <t>No</t>
        </is>
      </c>
      <c r="B419" t="inlineStr">
        <is>
          <t>CURAL</t>
        </is>
      </c>
      <c r="C419" t="inlineStr">
        <is>
          <t>SHELVES</t>
        </is>
      </c>
      <c r="D419" t="inlineStr">
        <is>
          <t>PQ6039 .B46</t>
        </is>
      </c>
      <c r="E419" t="inlineStr">
        <is>
          <t>0                      PQ 6039000B  46</t>
        </is>
      </c>
      <c r="F419" t="inlineStr">
        <is>
          <t>Beltenebros y otros ensayos sobre literatura española.</t>
        </is>
      </c>
      <c r="H419" t="inlineStr">
        <is>
          <t>No</t>
        </is>
      </c>
      <c r="I419" t="inlineStr">
        <is>
          <t>1</t>
        </is>
      </c>
      <c r="J419" t="inlineStr">
        <is>
          <t>No</t>
        </is>
      </c>
      <c r="K419" t="inlineStr">
        <is>
          <t>No</t>
        </is>
      </c>
      <c r="L419" t="inlineStr">
        <is>
          <t>0</t>
        </is>
      </c>
      <c r="M419" t="inlineStr">
        <is>
          <t>Bergamín, José, 1895-1983.</t>
        </is>
      </c>
      <c r="N419" t="inlineStr">
        <is>
          <t>Barcelona, Editorial Noguer [1973]</t>
        </is>
      </c>
      <c r="O419" t="inlineStr">
        <is>
          <t>1973</t>
        </is>
      </c>
      <c r="P419" t="inlineStr">
        <is>
          <t>[1. ed.]</t>
        </is>
      </c>
      <c r="Q419" t="inlineStr">
        <is>
          <t>spa</t>
        </is>
      </c>
      <c r="R419" t="inlineStr">
        <is>
          <t xml:space="preserve">xx </t>
        </is>
      </c>
      <c r="S419" t="inlineStr">
        <is>
          <t>Colección Temas de hoy de siempre, 2</t>
        </is>
      </c>
      <c r="T419" t="inlineStr">
        <is>
          <t xml:space="preserve">PQ </t>
        </is>
      </c>
      <c r="U419" t="n">
        <v>0</v>
      </c>
      <c r="V419" t="n">
        <v>0</v>
      </c>
      <c r="W419" t="inlineStr">
        <is>
          <t>2003-11-24</t>
        </is>
      </c>
      <c r="X419" t="inlineStr">
        <is>
          <t>2003-11-24</t>
        </is>
      </c>
      <c r="Y419" t="inlineStr">
        <is>
          <t>1997-06-25</t>
        </is>
      </c>
      <c r="Z419" t="inlineStr">
        <is>
          <t>1997-06-25</t>
        </is>
      </c>
      <c r="AA419" t="n">
        <v>134</v>
      </c>
      <c r="AB419" t="n">
        <v>93</v>
      </c>
      <c r="AC419" t="n">
        <v>95</v>
      </c>
      <c r="AD419" t="n">
        <v>1</v>
      </c>
      <c r="AE419" t="n">
        <v>1</v>
      </c>
      <c r="AF419" t="n">
        <v>2</v>
      </c>
      <c r="AG419" t="n">
        <v>2</v>
      </c>
      <c r="AH419" t="n">
        <v>0</v>
      </c>
      <c r="AI419" t="n">
        <v>0</v>
      </c>
      <c r="AJ419" t="n">
        <v>2</v>
      </c>
      <c r="AK419" t="n">
        <v>2</v>
      </c>
      <c r="AL419" t="n">
        <v>1</v>
      </c>
      <c r="AM419" t="n">
        <v>1</v>
      </c>
      <c r="AN419" t="n">
        <v>0</v>
      </c>
      <c r="AO419" t="n">
        <v>0</v>
      </c>
      <c r="AP419" t="n">
        <v>0</v>
      </c>
      <c r="AQ419" t="n">
        <v>0</v>
      </c>
      <c r="AR419" t="inlineStr">
        <is>
          <t>No</t>
        </is>
      </c>
      <c r="AS419" t="inlineStr">
        <is>
          <t>Yes</t>
        </is>
      </c>
      <c r="AT419">
        <f>HYPERLINK("http://catalog.hathitrust.org/Record/001048489","HathiTrust Record")</f>
        <v/>
      </c>
      <c r="AU419">
        <f>HYPERLINK("https://creighton-primo.hosted.exlibrisgroup.com/primo-explore/search?tab=default_tab&amp;search_scope=EVERYTHING&amp;vid=01CRU&amp;lang=en_US&amp;offset=0&amp;query=any,contains,991003191529702656","Catalog Record")</f>
        <v/>
      </c>
      <c r="AV419">
        <f>HYPERLINK("http://www.worldcat.org/oclc/716759","WorldCat Record")</f>
        <v/>
      </c>
      <c r="AW419" t="inlineStr">
        <is>
          <t>3943632328:spa</t>
        </is>
      </c>
      <c r="AX419" t="inlineStr">
        <is>
          <t>716759</t>
        </is>
      </c>
      <c r="AY419" t="inlineStr">
        <is>
          <t>991003191529702656</t>
        </is>
      </c>
      <c r="AZ419" t="inlineStr">
        <is>
          <t>991003191529702656</t>
        </is>
      </c>
      <c r="BA419" t="inlineStr">
        <is>
          <t>2259307760002656</t>
        </is>
      </c>
      <c r="BB419" t="inlineStr">
        <is>
          <t>BOOK</t>
        </is>
      </c>
      <c r="BE419" t="inlineStr">
        <is>
          <t>32285002515855</t>
        </is>
      </c>
      <c r="BF419" t="inlineStr">
        <is>
          <t>893530924</t>
        </is>
      </c>
    </row>
    <row r="420">
      <c r="A420" t="inlineStr">
        <is>
          <t>No</t>
        </is>
      </c>
      <c r="B420" t="inlineStr">
        <is>
          <t>CURAL</t>
        </is>
      </c>
      <c r="C420" t="inlineStr">
        <is>
          <t>SHELVES</t>
        </is>
      </c>
      <c r="D420" t="inlineStr">
        <is>
          <t>PQ6039 .L245 1997</t>
        </is>
      </c>
      <c r="E420" t="inlineStr">
        <is>
          <t>0                      PQ 6039000L  245         1997</t>
        </is>
      </c>
      <c r="F420" t="inlineStr">
        <is>
          <t>De Berceo a Jorge Guillaen : estudios literarios / Rafael Lapesa.</t>
        </is>
      </c>
      <c r="H420" t="inlineStr">
        <is>
          <t>No</t>
        </is>
      </c>
      <c r="I420" t="inlineStr">
        <is>
          <t>1</t>
        </is>
      </c>
      <c r="J420" t="inlineStr">
        <is>
          <t>No</t>
        </is>
      </c>
      <c r="K420" t="inlineStr">
        <is>
          <t>No</t>
        </is>
      </c>
      <c r="L420" t="inlineStr">
        <is>
          <t>0</t>
        </is>
      </c>
      <c r="M420" t="inlineStr">
        <is>
          <t>Lapesa, Rafael.</t>
        </is>
      </c>
      <c r="N420" t="inlineStr">
        <is>
          <t>Madrid : Gredos, c1997.</t>
        </is>
      </c>
      <c r="O420" t="inlineStr">
        <is>
          <t>1997</t>
        </is>
      </c>
      <c r="Q420" t="inlineStr">
        <is>
          <t>spa</t>
        </is>
      </c>
      <c r="R420" t="inlineStr">
        <is>
          <t xml:space="preserve">sp </t>
        </is>
      </c>
      <c r="S420" t="inlineStr">
        <is>
          <t>Biblioteca romaanica hispaanica. II. Estudios y ensayos ; 403</t>
        </is>
      </c>
      <c r="T420" t="inlineStr">
        <is>
          <t xml:space="preserve">PQ </t>
        </is>
      </c>
      <c r="U420" t="n">
        <v>1</v>
      </c>
      <c r="V420" t="n">
        <v>1</v>
      </c>
      <c r="W420" t="inlineStr">
        <is>
          <t>2004-10-07</t>
        </is>
      </c>
      <c r="X420" t="inlineStr">
        <is>
          <t>2004-10-07</t>
        </is>
      </c>
      <c r="Y420" t="inlineStr">
        <is>
          <t>2004-10-07</t>
        </is>
      </c>
      <c r="Z420" t="inlineStr">
        <is>
          <t>2004-10-07</t>
        </is>
      </c>
      <c r="AA420" t="n">
        <v>103</v>
      </c>
      <c r="AB420" t="n">
        <v>80</v>
      </c>
      <c r="AC420" t="n">
        <v>93</v>
      </c>
      <c r="AD420" t="n">
        <v>1</v>
      </c>
      <c r="AE420" t="n">
        <v>1</v>
      </c>
      <c r="AF420" t="n">
        <v>1</v>
      </c>
      <c r="AG420" t="n">
        <v>2</v>
      </c>
      <c r="AH420" t="n">
        <v>0</v>
      </c>
      <c r="AI420" t="n">
        <v>0</v>
      </c>
      <c r="AJ420" t="n">
        <v>1</v>
      </c>
      <c r="AK420" t="n">
        <v>2</v>
      </c>
      <c r="AL420" t="n">
        <v>0</v>
      </c>
      <c r="AM420" t="n">
        <v>1</v>
      </c>
      <c r="AN420" t="n">
        <v>0</v>
      </c>
      <c r="AO420" t="n">
        <v>0</v>
      </c>
      <c r="AP420" t="n">
        <v>0</v>
      </c>
      <c r="AQ420" t="n">
        <v>0</v>
      </c>
      <c r="AR420" t="inlineStr">
        <is>
          <t>No</t>
        </is>
      </c>
      <c r="AS420" t="inlineStr">
        <is>
          <t>Yes</t>
        </is>
      </c>
      <c r="AT420">
        <f>HYPERLINK("http://catalog.hathitrust.org/Record/003188346","HathiTrust Record")</f>
        <v/>
      </c>
      <c r="AU420">
        <f>HYPERLINK("https://creighton-primo.hosted.exlibrisgroup.com/primo-explore/search?tab=default_tab&amp;search_scope=EVERYTHING&amp;vid=01CRU&amp;lang=en_US&amp;offset=0&amp;query=any,contains,991004345699702656","Catalog Record")</f>
        <v/>
      </c>
      <c r="AV420">
        <f>HYPERLINK("http://www.worldcat.org/oclc/36837627","WorldCat Record")</f>
        <v/>
      </c>
      <c r="AW420" t="inlineStr">
        <is>
          <t>365136421:spa</t>
        </is>
      </c>
      <c r="AX420" t="inlineStr">
        <is>
          <t>36837627</t>
        </is>
      </c>
      <c r="AY420" t="inlineStr">
        <is>
          <t>991004345699702656</t>
        </is>
      </c>
      <c r="AZ420" t="inlineStr">
        <is>
          <t>991004345699702656</t>
        </is>
      </c>
      <c r="BA420" t="inlineStr">
        <is>
          <t>2270193150002656</t>
        </is>
      </c>
      <c r="BB420" t="inlineStr">
        <is>
          <t>BOOK</t>
        </is>
      </c>
      <c r="BD420" t="inlineStr">
        <is>
          <t>9788424918545</t>
        </is>
      </c>
      <c r="BE420" t="inlineStr">
        <is>
          <t>32285005002356</t>
        </is>
      </c>
      <c r="BF420" t="inlineStr">
        <is>
          <t>893325257</t>
        </is>
      </c>
    </row>
    <row r="421">
      <c r="A421" t="inlineStr">
        <is>
          <t>No</t>
        </is>
      </c>
      <c r="B421" t="inlineStr">
        <is>
          <t>CURAL</t>
        </is>
      </c>
      <c r="C421" t="inlineStr">
        <is>
          <t>SHELVES</t>
        </is>
      </c>
      <c r="D421" t="inlineStr">
        <is>
          <t>PQ6039 .M46 1990</t>
        </is>
      </c>
      <c r="E421" t="inlineStr">
        <is>
          <t>0                      PQ 6039000M  46          1990</t>
        </is>
      </c>
      <c r="F421" t="inlineStr">
        <is>
          <t>Literatura española / Marcelino Menéndez Pelayo ; selección y ordenación de Pablo Beltrán de Heredia.</t>
        </is>
      </c>
      <c r="H421" t="inlineStr">
        <is>
          <t>No</t>
        </is>
      </c>
      <c r="I421" t="inlineStr">
        <is>
          <t>1</t>
        </is>
      </c>
      <c r="J421" t="inlineStr">
        <is>
          <t>No</t>
        </is>
      </c>
      <c r="K421" t="inlineStr">
        <is>
          <t>No</t>
        </is>
      </c>
      <c r="L421" t="inlineStr">
        <is>
          <t>0</t>
        </is>
      </c>
      <c r="M421" t="inlineStr">
        <is>
          <t>Menéndez y Pelayo, Marcelino, 1856-1912.</t>
        </is>
      </c>
      <c r="N421" t="inlineStr">
        <is>
          <t>Santander : Fundación Marcelino Botín, 1990.</t>
        </is>
      </c>
      <c r="O421" t="inlineStr">
        <is>
          <t>1990</t>
        </is>
      </c>
      <c r="Q421" t="inlineStr">
        <is>
          <t>spa</t>
        </is>
      </c>
      <c r="R421" t="inlineStr">
        <is>
          <t xml:space="preserve">sp </t>
        </is>
      </c>
      <c r="S421" t="inlineStr">
        <is>
          <t>Publicaciones de la Fundación Marcelino Botín. Serie Literatura ; 1</t>
        </is>
      </c>
      <c r="T421" t="inlineStr">
        <is>
          <t xml:space="preserve">PQ </t>
        </is>
      </c>
      <c r="U421" t="n">
        <v>1</v>
      </c>
      <c r="V421" t="n">
        <v>1</v>
      </c>
      <c r="W421" t="inlineStr">
        <is>
          <t>2005-03-23</t>
        </is>
      </c>
      <c r="X421" t="inlineStr">
        <is>
          <t>2005-03-23</t>
        </is>
      </c>
      <c r="Y421" t="inlineStr">
        <is>
          <t>2005-03-23</t>
        </is>
      </c>
      <c r="Z421" t="inlineStr">
        <is>
          <t>2005-03-23</t>
        </is>
      </c>
      <c r="AA421" t="n">
        <v>24</v>
      </c>
      <c r="AB421" t="n">
        <v>19</v>
      </c>
      <c r="AC421" t="n">
        <v>21</v>
      </c>
      <c r="AD421" t="n">
        <v>1</v>
      </c>
      <c r="AE421" t="n">
        <v>1</v>
      </c>
      <c r="AF421" t="n">
        <v>1</v>
      </c>
      <c r="AG421" t="n">
        <v>1</v>
      </c>
      <c r="AH421" t="n">
        <v>0</v>
      </c>
      <c r="AI421" t="n">
        <v>0</v>
      </c>
      <c r="AJ421" t="n">
        <v>0</v>
      </c>
      <c r="AK421" t="n">
        <v>0</v>
      </c>
      <c r="AL421" t="n">
        <v>1</v>
      </c>
      <c r="AM421" t="n">
        <v>1</v>
      </c>
      <c r="AN421" t="n">
        <v>0</v>
      </c>
      <c r="AO421" t="n">
        <v>0</v>
      </c>
      <c r="AP421" t="n">
        <v>0</v>
      </c>
      <c r="AQ421" t="n">
        <v>0</v>
      </c>
      <c r="AR421" t="inlineStr">
        <is>
          <t>No</t>
        </is>
      </c>
      <c r="AS421" t="inlineStr">
        <is>
          <t>Yes</t>
        </is>
      </c>
      <c r="AT421">
        <f>HYPERLINK("http://catalog.hathitrust.org/Record/007968135","HathiTrust Record")</f>
        <v/>
      </c>
      <c r="AU421">
        <f>HYPERLINK("https://creighton-primo.hosted.exlibrisgroup.com/primo-explore/search?tab=default_tab&amp;search_scope=EVERYTHING&amp;vid=01CRU&amp;lang=en_US&amp;offset=0&amp;query=any,contains,991004509649702656","Catalog Record")</f>
        <v/>
      </c>
      <c r="AV421">
        <f>HYPERLINK("http://www.worldcat.org/oclc/29578027","WorldCat Record")</f>
        <v/>
      </c>
      <c r="AW421" t="inlineStr">
        <is>
          <t>31604130:spa</t>
        </is>
      </c>
      <c r="AX421" t="inlineStr">
        <is>
          <t>29578027</t>
        </is>
      </c>
      <c r="AY421" t="inlineStr">
        <is>
          <t>991004509649702656</t>
        </is>
      </c>
      <c r="AZ421" t="inlineStr">
        <is>
          <t>991004509649702656</t>
        </is>
      </c>
      <c r="BA421" t="inlineStr">
        <is>
          <t>2255071060002656</t>
        </is>
      </c>
      <c r="BB421" t="inlineStr">
        <is>
          <t>BOOK</t>
        </is>
      </c>
      <c r="BD421" t="inlineStr">
        <is>
          <t>9788487678028</t>
        </is>
      </c>
      <c r="BE421" t="inlineStr">
        <is>
          <t>32285005044432</t>
        </is>
      </c>
      <c r="BF421" t="inlineStr">
        <is>
          <t>893325458</t>
        </is>
      </c>
    </row>
    <row r="422">
      <c r="A422" t="inlineStr">
        <is>
          <t>No</t>
        </is>
      </c>
      <c r="B422" t="inlineStr">
        <is>
          <t>CURAL</t>
        </is>
      </c>
      <c r="C422" t="inlineStr">
        <is>
          <t>SHELVES</t>
        </is>
      </c>
      <c r="D422" t="inlineStr">
        <is>
          <t>PQ6042.A4 L66 1985</t>
        </is>
      </c>
      <c r="E422" t="inlineStr">
        <is>
          <t>0                      PQ 6042000A  4                  L  66          1985</t>
        </is>
      </c>
      <c r="F422" t="inlineStr">
        <is>
          <t>Huellas del Islam en la literatura española : de Juan Ruiz a Juan Goytisolo / Luce López-Baralt.</t>
        </is>
      </c>
      <c r="H422" t="inlineStr">
        <is>
          <t>No</t>
        </is>
      </c>
      <c r="I422" t="inlineStr">
        <is>
          <t>1</t>
        </is>
      </c>
      <c r="J422" t="inlineStr">
        <is>
          <t>No</t>
        </is>
      </c>
      <c r="K422" t="inlineStr">
        <is>
          <t>No</t>
        </is>
      </c>
      <c r="L422" t="inlineStr">
        <is>
          <t>0</t>
        </is>
      </c>
      <c r="M422" t="inlineStr">
        <is>
          <t>López Baralt, Luce.</t>
        </is>
      </c>
      <c r="N422" t="inlineStr">
        <is>
          <t>Madrid : Hiperión, c1985.</t>
        </is>
      </c>
      <c r="O422" t="inlineStr">
        <is>
          <t>1985</t>
        </is>
      </c>
      <c r="Q422" t="inlineStr">
        <is>
          <t>spa</t>
        </is>
      </c>
      <c r="R422" t="inlineStr">
        <is>
          <t xml:space="preserve">sp </t>
        </is>
      </c>
      <c r="S422" t="inlineStr">
        <is>
          <t>Libros Hiperión ; 86</t>
        </is>
      </c>
      <c r="T422" t="inlineStr">
        <is>
          <t xml:space="preserve">PQ </t>
        </is>
      </c>
      <c r="U422" t="n">
        <v>2</v>
      </c>
      <c r="V422" t="n">
        <v>2</v>
      </c>
      <c r="W422" t="inlineStr">
        <is>
          <t>1995-03-22</t>
        </is>
      </c>
      <c r="X422" t="inlineStr">
        <is>
          <t>1995-03-22</t>
        </is>
      </c>
      <c r="Y422" t="inlineStr">
        <is>
          <t>1991-05-22</t>
        </is>
      </c>
      <c r="Z422" t="inlineStr">
        <is>
          <t>1991-05-22</t>
        </is>
      </c>
      <c r="AA422" t="n">
        <v>163</v>
      </c>
      <c r="AB422" t="n">
        <v>122</v>
      </c>
      <c r="AC422" t="n">
        <v>138</v>
      </c>
      <c r="AD422" t="n">
        <v>2</v>
      </c>
      <c r="AE422" t="n">
        <v>2</v>
      </c>
      <c r="AF422" t="n">
        <v>5</v>
      </c>
      <c r="AG422" t="n">
        <v>6</v>
      </c>
      <c r="AH422" t="n">
        <v>0</v>
      </c>
      <c r="AI422" t="n">
        <v>1</v>
      </c>
      <c r="AJ422" t="n">
        <v>1</v>
      </c>
      <c r="AK422" t="n">
        <v>1</v>
      </c>
      <c r="AL422" t="n">
        <v>3</v>
      </c>
      <c r="AM422" t="n">
        <v>4</v>
      </c>
      <c r="AN422" t="n">
        <v>1</v>
      </c>
      <c r="AO422" t="n">
        <v>1</v>
      </c>
      <c r="AP422" t="n">
        <v>0</v>
      </c>
      <c r="AQ422" t="n">
        <v>0</v>
      </c>
      <c r="AR422" t="inlineStr">
        <is>
          <t>No</t>
        </is>
      </c>
      <c r="AS422" t="inlineStr">
        <is>
          <t>Yes</t>
        </is>
      </c>
      <c r="AT422">
        <f>HYPERLINK("http://catalog.hathitrust.org/Record/000837866","HathiTrust Record")</f>
        <v/>
      </c>
      <c r="AU422">
        <f>HYPERLINK("https://creighton-primo.hosted.exlibrisgroup.com/primo-explore/search?tab=default_tab&amp;search_scope=EVERYTHING&amp;vid=01CRU&amp;lang=en_US&amp;offset=0&amp;query=any,contains,991000819429702656","Catalog Record")</f>
        <v/>
      </c>
      <c r="AV422">
        <f>HYPERLINK("http://www.worldcat.org/oclc/13385234","WorldCat Record")</f>
        <v/>
      </c>
      <c r="AW422" t="inlineStr">
        <is>
          <t>26914620:spa</t>
        </is>
      </c>
      <c r="AX422" t="inlineStr">
        <is>
          <t>13385234</t>
        </is>
      </c>
      <c r="AY422" t="inlineStr">
        <is>
          <t>991000819429702656</t>
        </is>
      </c>
      <c r="AZ422" t="inlineStr">
        <is>
          <t>991000819429702656</t>
        </is>
      </c>
      <c r="BA422" t="inlineStr">
        <is>
          <t>2267584300002656</t>
        </is>
      </c>
      <c r="BB422" t="inlineStr">
        <is>
          <t>BOOK</t>
        </is>
      </c>
      <c r="BD422" t="inlineStr">
        <is>
          <t>9788475171524</t>
        </is>
      </c>
      <c r="BE422" t="inlineStr">
        <is>
          <t>32285000598341</t>
        </is>
      </c>
      <c r="BF422" t="inlineStr">
        <is>
          <t>893249706</t>
        </is>
      </c>
    </row>
    <row r="423">
      <c r="A423" t="inlineStr">
        <is>
          <t>No</t>
        </is>
      </c>
      <c r="B423" t="inlineStr">
        <is>
          <t>CURAL</t>
        </is>
      </c>
      <c r="C423" t="inlineStr">
        <is>
          <t>SHELVES</t>
        </is>
      </c>
      <c r="D423" t="inlineStr">
        <is>
          <t>PQ6046.I53 L65 2001</t>
        </is>
      </c>
      <c r="E423" t="inlineStr">
        <is>
          <t>0                      PQ 6046000I  53                 L  65          2001</t>
        </is>
      </c>
      <c r="F423" t="inlineStr">
        <is>
          <t>Un huaesped no invitado : la voz tangencial del indio en la literatura hispana / Eduardo C. Lolo.</t>
        </is>
      </c>
      <c r="H423" t="inlineStr">
        <is>
          <t>No</t>
        </is>
      </c>
      <c r="I423" t="inlineStr">
        <is>
          <t>1</t>
        </is>
      </c>
      <c r="J423" t="inlineStr">
        <is>
          <t>No</t>
        </is>
      </c>
      <c r="K423" t="inlineStr">
        <is>
          <t>No</t>
        </is>
      </c>
      <c r="L423" t="inlineStr">
        <is>
          <t>0</t>
        </is>
      </c>
      <c r="M423" t="inlineStr">
        <is>
          <t>Lolo, Eduardo, 1948-</t>
        </is>
      </c>
      <c r="N423" t="inlineStr">
        <is>
          <t>Rosario, Repaublica Argentina : UNR, 2001.</t>
        </is>
      </c>
      <c r="O423" t="inlineStr">
        <is>
          <t>2001</t>
        </is>
      </c>
      <c r="Q423" t="inlineStr">
        <is>
          <t>spa</t>
        </is>
      </c>
      <c r="R423" t="inlineStr">
        <is>
          <t xml:space="preserve">ag </t>
        </is>
      </c>
      <c r="T423" t="inlineStr">
        <is>
          <t xml:space="preserve">PQ </t>
        </is>
      </c>
      <c r="U423" t="n">
        <v>1</v>
      </c>
      <c r="V423" t="n">
        <v>1</v>
      </c>
      <c r="W423" t="inlineStr">
        <is>
          <t>2004-05-11</t>
        </is>
      </c>
      <c r="X423" t="inlineStr">
        <is>
          <t>2004-05-11</t>
        </is>
      </c>
      <c r="Y423" t="inlineStr">
        <is>
          <t>2004-05-11</t>
        </is>
      </c>
      <c r="Z423" t="inlineStr">
        <is>
          <t>2004-05-11</t>
        </is>
      </c>
      <c r="AA423" t="n">
        <v>203</v>
      </c>
      <c r="AB423" t="n">
        <v>199</v>
      </c>
      <c r="AC423" t="n">
        <v>202</v>
      </c>
      <c r="AD423" t="n">
        <v>5</v>
      </c>
      <c r="AE423" t="n">
        <v>5</v>
      </c>
      <c r="AF423" t="n">
        <v>11</v>
      </c>
      <c r="AG423" t="n">
        <v>11</v>
      </c>
      <c r="AH423" t="n">
        <v>0</v>
      </c>
      <c r="AI423" t="n">
        <v>0</v>
      </c>
      <c r="AJ423" t="n">
        <v>5</v>
      </c>
      <c r="AK423" t="n">
        <v>5</v>
      </c>
      <c r="AL423" t="n">
        <v>4</v>
      </c>
      <c r="AM423" t="n">
        <v>4</v>
      </c>
      <c r="AN423" t="n">
        <v>4</v>
      </c>
      <c r="AO423" t="n">
        <v>4</v>
      </c>
      <c r="AP423" t="n">
        <v>0</v>
      </c>
      <c r="AQ423" t="n">
        <v>0</v>
      </c>
      <c r="AR423" t="inlineStr">
        <is>
          <t>No</t>
        </is>
      </c>
      <c r="AS423" t="inlineStr">
        <is>
          <t>Yes</t>
        </is>
      </c>
      <c r="AT423">
        <f>HYPERLINK("http://catalog.hathitrust.org/Record/003888267","HathiTrust Record")</f>
        <v/>
      </c>
      <c r="AU423">
        <f>HYPERLINK("https://creighton-primo.hosted.exlibrisgroup.com/primo-explore/search?tab=default_tab&amp;search_scope=EVERYTHING&amp;vid=01CRU&amp;lang=en_US&amp;offset=0&amp;query=any,contains,991004296979702656","Catalog Record")</f>
        <v/>
      </c>
      <c r="AV423">
        <f>HYPERLINK("http://www.worldcat.org/oclc/48896883","WorldCat Record")</f>
        <v/>
      </c>
      <c r="AW423" t="inlineStr">
        <is>
          <t>350969459:spa</t>
        </is>
      </c>
      <c r="AX423" t="inlineStr">
        <is>
          <t>48896883</t>
        </is>
      </c>
      <c r="AY423" t="inlineStr">
        <is>
          <t>991004296979702656</t>
        </is>
      </c>
      <c r="AZ423" t="inlineStr">
        <is>
          <t>991004296979702656</t>
        </is>
      </c>
      <c r="BA423" t="inlineStr">
        <is>
          <t>2271476760002656</t>
        </is>
      </c>
      <c r="BB423" t="inlineStr">
        <is>
          <t>BOOK</t>
        </is>
      </c>
      <c r="BD423" t="inlineStr">
        <is>
          <t>9789506732851</t>
        </is>
      </c>
      <c r="BE423" t="inlineStr">
        <is>
          <t>32285004905450</t>
        </is>
      </c>
      <c r="BF423" t="inlineStr">
        <is>
          <t>893229177</t>
        </is>
      </c>
    </row>
    <row r="424">
      <c r="A424" t="inlineStr">
        <is>
          <t>No</t>
        </is>
      </c>
      <c r="B424" t="inlineStr">
        <is>
          <t>CURAL</t>
        </is>
      </c>
      <c r="C424" t="inlineStr">
        <is>
          <t>SHELVES</t>
        </is>
      </c>
      <c r="D424" t="inlineStr">
        <is>
          <t>PQ6047.I5 S26 1981</t>
        </is>
      </c>
      <c r="E424" t="inlineStr">
        <is>
          <t>0                      PQ 6047000I  5                  S  26          1981</t>
        </is>
      </c>
      <c r="F424" t="inlineStr">
        <is>
          <t>Indianismo y indigenismo en la literatura peruana / Luis Alberto Sánchez.</t>
        </is>
      </c>
      <c r="H424" t="inlineStr">
        <is>
          <t>No</t>
        </is>
      </c>
      <c r="I424" t="inlineStr">
        <is>
          <t>1</t>
        </is>
      </c>
      <c r="J424" t="inlineStr">
        <is>
          <t>No</t>
        </is>
      </c>
      <c r="K424" t="inlineStr">
        <is>
          <t>No</t>
        </is>
      </c>
      <c r="L424" t="inlineStr">
        <is>
          <t>0</t>
        </is>
      </c>
      <c r="M424" t="inlineStr">
        <is>
          <t>Sánchez, Luis Alberto, 1900-1994.</t>
        </is>
      </c>
      <c r="N424" t="inlineStr">
        <is>
          <t>Lima, Perú : Mosca Azul Editores, 1981.</t>
        </is>
      </c>
      <c r="O424" t="inlineStr">
        <is>
          <t>1981</t>
        </is>
      </c>
      <c r="P424" t="inlineStr">
        <is>
          <t>1a. ed.</t>
        </is>
      </c>
      <c r="Q424" t="inlineStr">
        <is>
          <t>spa</t>
        </is>
      </c>
      <c r="R424" t="inlineStr">
        <is>
          <t xml:space="preserve">pe </t>
        </is>
      </c>
      <c r="T424" t="inlineStr">
        <is>
          <t xml:space="preserve">PQ </t>
        </is>
      </c>
      <c r="U424" t="n">
        <v>2</v>
      </c>
      <c r="V424" t="n">
        <v>2</v>
      </c>
      <c r="W424" t="inlineStr">
        <is>
          <t>1995-08-21</t>
        </is>
      </c>
      <c r="X424" t="inlineStr">
        <is>
          <t>1995-08-21</t>
        </is>
      </c>
      <c r="Y424" t="inlineStr">
        <is>
          <t>1995-08-17</t>
        </is>
      </c>
      <c r="Z424" t="inlineStr">
        <is>
          <t>1995-08-17</t>
        </is>
      </c>
      <c r="AA424" t="n">
        <v>13</v>
      </c>
      <c r="AB424" t="n">
        <v>10</v>
      </c>
      <c r="AC424" t="n">
        <v>77</v>
      </c>
      <c r="AD424" t="n">
        <v>1</v>
      </c>
      <c r="AE424" t="n">
        <v>1</v>
      </c>
      <c r="AF424" t="n">
        <v>0</v>
      </c>
      <c r="AG424" t="n">
        <v>1</v>
      </c>
      <c r="AH424" t="n">
        <v>0</v>
      </c>
      <c r="AI424" t="n">
        <v>0</v>
      </c>
      <c r="AJ424" t="n">
        <v>0</v>
      </c>
      <c r="AK424" t="n">
        <v>0</v>
      </c>
      <c r="AL424" t="n">
        <v>0</v>
      </c>
      <c r="AM424" t="n">
        <v>1</v>
      </c>
      <c r="AN424" t="n">
        <v>0</v>
      </c>
      <c r="AO424" t="n">
        <v>0</v>
      </c>
      <c r="AP424" t="n">
        <v>0</v>
      </c>
      <c r="AQ424" t="n">
        <v>0</v>
      </c>
      <c r="AR424" t="inlineStr">
        <is>
          <t>No</t>
        </is>
      </c>
      <c r="AS424" t="inlineStr">
        <is>
          <t>Yes</t>
        </is>
      </c>
      <c r="AT424">
        <f>HYPERLINK("http://catalog.hathitrust.org/Record/101208434","HathiTrust Record")</f>
        <v/>
      </c>
      <c r="AU424">
        <f>HYPERLINK("https://creighton-primo.hosted.exlibrisgroup.com/primo-explore/search?tab=default_tab&amp;search_scope=EVERYTHING&amp;vid=01CRU&amp;lang=en_US&amp;offset=0&amp;query=any,contains,991000204169702656","Catalog Record")</f>
        <v/>
      </c>
      <c r="AV424">
        <f>HYPERLINK("http://www.worldcat.org/oclc/9485606","WorldCat Record")</f>
        <v/>
      </c>
      <c r="AW424" t="inlineStr">
        <is>
          <t>134025294:spa</t>
        </is>
      </c>
      <c r="AX424" t="inlineStr">
        <is>
          <t>9485606</t>
        </is>
      </c>
      <c r="AY424" t="inlineStr">
        <is>
          <t>991000204169702656</t>
        </is>
      </c>
      <c r="AZ424" t="inlineStr">
        <is>
          <t>991000204169702656</t>
        </is>
      </c>
      <c r="BA424" t="inlineStr">
        <is>
          <t>2254863130002656</t>
        </is>
      </c>
      <c r="BB424" t="inlineStr">
        <is>
          <t>BOOK</t>
        </is>
      </c>
      <c r="BE424" t="inlineStr">
        <is>
          <t>32285002080397</t>
        </is>
      </c>
      <c r="BF424" t="inlineStr">
        <is>
          <t>893601575</t>
        </is>
      </c>
    </row>
    <row r="425">
      <c r="A425" t="inlineStr">
        <is>
          <t>No</t>
        </is>
      </c>
      <c r="B425" t="inlineStr">
        <is>
          <t>CURAL</t>
        </is>
      </c>
      <c r="C425" t="inlineStr">
        <is>
          <t>SHELVES</t>
        </is>
      </c>
      <c r="D425" t="inlineStr">
        <is>
          <t>PQ6051 .T7 1997</t>
        </is>
      </c>
      <c r="E425" t="inlineStr">
        <is>
          <t>0                      PQ 6051000T  7           1997</t>
        </is>
      </c>
      <c r="F425" t="inlineStr">
        <is>
          <t>Perfil en el aire / Ricardo Trigueros de León ; presentación por Ricardo Lindo.</t>
        </is>
      </c>
      <c r="H425" t="inlineStr">
        <is>
          <t>No</t>
        </is>
      </c>
      <c r="I425" t="inlineStr">
        <is>
          <t>1</t>
        </is>
      </c>
      <c r="J425" t="inlineStr">
        <is>
          <t>No</t>
        </is>
      </c>
      <c r="K425" t="inlineStr">
        <is>
          <t>No</t>
        </is>
      </c>
      <c r="L425" t="inlineStr">
        <is>
          <t>0</t>
        </is>
      </c>
      <c r="M425" t="inlineStr">
        <is>
          <t>Trigueros de León, Ricardo, 1917-1965.</t>
        </is>
      </c>
      <c r="N425" t="inlineStr">
        <is>
          <t>San Salvador [El Salvador] : Dirección de Publicaciones e Impresos, Consejo Nacional para la Cultura y el Arte, 1997.</t>
        </is>
      </c>
      <c r="O425" t="inlineStr">
        <is>
          <t>1997</t>
        </is>
      </c>
      <c r="P425" t="inlineStr">
        <is>
          <t>2. ed.</t>
        </is>
      </c>
      <c r="Q425" t="inlineStr">
        <is>
          <t>spa</t>
        </is>
      </c>
      <c r="R425" t="inlineStr">
        <is>
          <t xml:space="preserve">es </t>
        </is>
      </c>
      <c r="S425" t="inlineStr">
        <is>
          <t>Biblioteca básica de literatura salvadoreña ; v. 20</t>
        </is>
      </c>
      <c r="T425" t="inlineStr">
        <is>
          <t xml:space="preserve">PQ </t>
        </is>
      </c>
      <c r="U425" t="n">
        <v>1</v>
      </c>
      <c r="V425" t="n">
        <v>1</v>
      </c>
      <c r="W425" t="inlineStr">
        <is>
          <t>2001-11-08</t>
        </is>
      </c>
      <c r="X425" t="inlineStr">
        <is>
          <t>2001-11-08</t>
        </is>
      </c>
      <c r="Y425" t="inlineStr">
        <is>
          <t>2001-11-07</t>
        </is>
      </c>
      <c r="Z425" t="inlineStr">
        <is>
          <t>2001-11-07</t>
        </is>
      </c>
      <c r="AA425" t="n">
        <v>32</v>
      </c>
      <c r="AB425" t="n">
        <v>29</v>
      </c>
      <c r="AC425" t="n">
        <v>31</v>
      </c>
      <c r="AD425" t="n">
        <v>1</v>
      </c>
      <c r="AE425" t="n">
        <v>1</v>
      </c>
      <c r="AF425" t="n">
        <v>1</v>
      </c>
      <c r="AG425" t="n">
        <v>1</v>
      </c>
      <c r="AH425" t="n">
        <v>0</v>
      </c>
      <c r="AI425" t="n">
        <v>0</v>
      </c>
      <c r="AJ425" t="n">
        <v>1</v>
      </c>
      <c r="AK425" t="n">
        <v>1</v>
      </c>
      <c r="AL425" t="n">
        <v>0</v>
      </c>
      <c r="AM425" t="n">
        <v>0</v>
      </c>
      <c r="AN425" t="n">
        <v>0</v>
      </c>
      <c r="AO425" t="n">
        <v>0</v>
      </c>
      <c r="AP425" t="n">
        <v>0</v>
      </c>
      <c r="AQ425" t="n">
        <v>0</v>
      </c>
      <c r="AR425" t="inlineStr">
        <is>
          <t>No</t>
        </is>
      </c>
      <c r="AS425" t="inlineStr">
        <is>
          <t>Yes</t>
        </is>
      </c>
      <c r="AT425">
        <f>HYPERLINK("http://catalog.hathitrust.org/Record/101094318","HathiTrust Record")</f>
        <v/>
      </c>
      <c r="AU425">
        <f>HYPERLINK("https://creighton-primo.hosted.exlibrisgroup.com/primo-explore/search?tab=default_tab&amp;search_scope=EVERYTHING&amp;vid=01CRU&amp;lang=en_US&amp;offset=0&amp;query=any,contains,991003669489702656","Catalog Record")</f>
        <v/>
      </c>
      <c r="AV425">
        <f>HYPERLINK("http://www.worldcat.org/oclc/39225824","WorldCat Record")</f>
        <v/>
      </c>
      <c r="AW425" t="inlineStr">
        <is>
          <t>4917322992:spa</t>
        </is>
      </c>
      <c r="AX425" t="inlineStr">
        <is>
          <t>39225824</t>
        </is>
      </c>
      <c r="AY425" t="inlineStr">
        <is>
          <t>991003669489702656</t>
        </is>
      </c>
      <c r="AZ425" t="inlineStr">
        <is>
          <t>991003669489702656</t>
        </is>
      </c>
      <c r="BA425" t="inlineStr">
        <is>
          <t>2267100980002656</t>
        </is>
      </c>
      <c r="BB425" t="inlineStr">
        <is>
          <t>BOOK</t>
        </is>
      </c>
      <c r="BE425" t="inlineStr">
        <is>
          <t>32285004418991</t>
        </is>
      </c>
      <c r="BF425" t="inlineStr">
        <is>
          <t>893617590</t>
        </is>
      </c>
    </row>
    <row r="426">
      <c r="A426" t="inlineStr">
        <is>
          <t>No</t>
        </is>
      </c>
      <c r="B426" t="inlineStr">
        <is>
          <t>CURAL</t>
        </is>
      </c>
      <c r="C426" t="inlineStr">
        <is>
          <t>SHELVES</t>
        </is>
      </c>
      <c r="D426" t="inlineStr">
        <is>
          <t>PQ6055 .C68 1991</t>
        </is>
      </c>
      <c r="E426" t="inlineStr">
        <is>
          <t>0                      PQ 6055000C  68          1991</t>
        </is>
      </c>
      <c r="F426" t="inlineStr">
        <is>
          <t>Conversaciones y poemas : la nueva poesía femenina española en castellano / por Sharon Keefe Ugalde.</t>
        </is>
      </c>
      <c r="H426" t="inlineStr">
        <is>
          <t>No</t>
        </is>
      </c>
      <c r="I426" t="inlineStr">
        <is>
          <t>1</t>
        </is>
      </c>
      <c r="J426" t="inlineStr">
        <is>
          <t>No</t>
        </is>
      </c>
      <c r="K426" t="inlineStr">
        <is>
          <t>No</t>
        </is>
      </c>
      <c r="L426" t="inlineStr">
        <is>
          <t>0</t>
        </is>
      </c>
      <c r="N426" t="inlineStr">
        <is>
          <t>Madrid : Siglo XXI de España Editores, 1991.</t>
        </is>
      </c>
      <c r="O426" t="inlineStr">
        <is>
          <t>1991</t>
        </is>
      </c>
      <c r="P426" t="inlineStr">
        <is>
          <t>1. ed.</t>
        </is>
      </c>
      <c r="Q426" t="inlineStr">
        <is>
          <t>spa</t>
        </is>
      </c>
      <c r="R426" t="inlineStr">
        <is>
          <t xml:space="preserve">sp </t>
        </is>
      </c>
      <c r="S426" t="inlineStr">
        <is>
          <t>Lingüística y teoría literaria</t>
        </is>
      </c>
      <c r="T426" t="inlineStr">
        <is>
          <t xml:space="preserve">PQ </t>
        </is>
      </c>
      <c r="U426" t="n">
        <v>2</v>
      </c>
      <c r="V426" t="n">
        <v>2</v>
      </c>
      <c r="W426" t="inlineStr">
        <is>
          <t>2002-04-09</t>
        </is>
      </c>
      <c r="X426" t="inlineStr">
        <is>
          <t>2002-04-09</t>
        </is>
      </c>
      <c r="Y426" t="inlineStr">
        <is>
          <t>2002-03-14</t>
        </is>
      </c>
      <c r="Z426" t="inlineStr">
        <is>
          <t>2002-03-14</t>
        </is>
      </c>
      <c r="AA426" t="n">
        <v>101</v>
      </c>
      <c r="AB426" t="n">
        <v>77</v>
      </c>
      <c r="AC426" t="n">
        <v>142</v>
      </c>
      <c r="AD426" t="n">
        <v>2</v>
      </c>
      <c r="AE426" t="n">
        <v>2</v>
      </c>
      <c r="AF426" t="n">
        <v>6</v>
      </c>
      <c r="AG426" t="n">
        <v>9</v>
      </c>
      <c r="AH426" t="n">
        <v>2</v>
      </c>
      <c r="AI426" t="n">
        <v>2</v>
      </c>
      <c r="AJ426" t="n">
        <v>3</v>
      </c>
      <c r="AK426" t="n">
        <v>5</v>
      </c>
      <c r="AL426" t="n">
        <v>3</v>
      </c>
      <c r="AM426" t="n">
        <v>5</v>
      </c>
      <c r="AN426" t="n">
        <v>1</v>
      </c>
      <c r="AO426" t="n">
        <v>1</v>
      </c>
      <c r="AP426" t="n">
        <v>0</v>
      </c>
      <c r="AQ426" t="n">
        <v>0</v>
      </c>
      <c r="AR426" t="inlineStr">
        <is>
          <t>No</t>
        </is>
      </c>
      <c r="AS426" t="inlineStr">
        <is>
          <t>No</t>
        </is>
      </c>
      <c r="AU426">
        <f>HYPERLINK("https://creighton-primo.hosted.exlibrisgroup.com/primo-explore/search?tab=default_tab&amp;search_scope=EVERYTHING&amp;vid=01CRU&amp;lang=en_US&amp;offset=0&amp;query=any,contains,991003765209702656","Catalog Record")</f>
        <v/>
      </c>
      <c r="AV426">
        <f>HYPERLINK("http://www.worldcat.org/oclc/29878221","WorldCat Record")</f>
        <v/>
      </c>
      <c r="AW426" t="inlineStr">
        <is>
          <t>321213798:spa</t>
        </is>
      </c>
      <c r="AX426" t="inlineStr">
        <is>
          <t>29878221</t>
        </is>
      </c>
      <c r="AY426" t="inlineStr">
        <is>
          <t>991003765209702656</t>
        </is>
      </c>
      <c r="AZ426" t="inlineStr">
        <is>
          <t>991003765209702656</t>
        </is>
      </c>
      <c r="BA426" t="inlineStr">
        <is>
          <t>2257412680002656</t>
        </is>
      </c>
      <c r="BB426" t="inlineStr">
        <is>
          <t>BOOK</t>
        </is>
      </c>
      <c r="BD426" t="inlineStr">
        <is>
          <t>9788432307256</t>
        </is>
      </c>
      <c r="BE426" t="inlineStr">
        <is>
          <t>32285004461033</t>
        </is>
      </c>
      <c r="BF426" t="inlineStr">
        <is>
          <t>893611411</t>
        </is>
      </c>
    </row>
    <row r="427">
      <c r="A427" t="inlineStr">
        <is>
          <t>No</t>
        </is>
      </c>
      <c r="B427" t="inlineStr">
        <is>
          <t>CURAL</t>
        </is>
      </c>
      <c r="C427" t="inlineStr">
        <is>
          <t>SHELVES</t>
        </is>
      </c>
      <c r="D427" t="inlineStr">
        <is>
          <t>PQ6055 .N5 1992</t>
        </is>
      </c>
      <c r="E427" t="inlineStr">
        <is>
          <t>0                      PQ 6055000N  5           1992</t>
        </is>
      </c>
      <c r="F427" t="inlineStr">
        <is>
          <t>Des/cifrar la diferencia : narrativa femenina de la España contemporánea / por Geraldine C. Nichols.</t>
        </is>
      </c>
      <c r="H427" t="inlineStr">
        <is>
          <t>No</t>
        </is>
      </c>
      <c r="I427" t="inlineStr">
        <is>
          <t>1</t>
        </is>
      </c>
      <c r="J427" t="inlineStr">
        <is>
          <t>No</t>
        </is>
      </c>
      <c r="K427" t="inlineStr">
        <is>
          <t>No</t>
        </is>
      </c>
      <c r="L427" t="inlineStr">
        <is>
          <t>0</t>
        </is>
      </c>
      <c r="M427" t="inlineStr">
        <is>
          <t>Nichols, Geraldine Cleary.</t>
        </is>
      </c>
      <c r="N427" t="inlineStr">
        <is>
          <t>México, D.F. : Siglo Veintiuno Editores ; Madrid : Siglo Veintiuno de España Editores, 1992.</t>
        </is>
      </c>
      <c r="O427" t="inlineStr">
        <is>
          <t>1992</t>
        </is>
      </c>
      <c r="P427" t="inlineStr">
        <is>
          <t>1. ed.</t>
        </is>
      </c>
      <c r="Q427" t="inlineStr">
        <is>
          <t>spa</t>
        </is>
      </c>
      <c r="R427" t="inlineStr">
        <is>
          <t xml:space="preserve">mx </t>
        </is>
      </c>
      <c r="S427" t="inlineStr">
        <is>
          <t>Lingüística y teoría literaria</t>
        </is>
      </c>
      <c r="T427" t="inlineStr">
        <is>
          <t xml:space="preserve">PQ </t>
        </is>
      </c>
      <c r="U427" t="n">
        <v>1</v>
      </c>
      <c r="V427" t="n">
        <v>1</v>
      </c>
      <c r="W427" t="inlineStr">
        <is>
          <t>2002-07-29</t>
        </is>
      </c>
      <c r="X427" t="inlineStr">
        <is>
          <t>2002-07-29</t>
        </is>
      </c>
      <c r="Y427" t="inlineStr">
        <is>
          <t>2002-07-29</t>
        </is>
      </c>
      <c r="Z427" t="inlineStr">
        <is>
          <t>2002-07-29</t>
        </is>
      </c>
      <c r="AA427" t="n">
        <v>219</v>
      </c>
      <c r="AB427" t="n">
        <v>167</v>
      </c>
      <c r="AC427" t="n">
        <v>174</v>
      </c>
      <c r="AD427" t="n">
        <v>3</v>
      </c>
      <c r="AE427" t="n">
        <v>3</v>
      </c>
      <c r="AF427" t="n">
        <v>9</v>
      </c>
      <c r="AG427" t="n">
        <v>9</v>
      </c>
      <c r="AH427" t="n">
        <v>3</v>
      </c>
      <c r="AI427" t="n">
        <v>3</v>
      </c>
      <c r="AJ427" t="n">
        <v>4</v>
      </c>
      <c r="AK427" t="n">
        <v>4</v>
      </c>
      <c r="AL427" t="n">
        <v>4</v>
      </c>
      <c r="AM427" t="n">
        <v>4</v>
      </c>
      <c r="AN427" t="n">
        <v>2</v>
      </c>
      <c r="AO427" t="n">
        <v>2</v>
      </c>
      <c r="AP427" t="n">
        <v>0</v>
      </c>
      <c r="AQ427" t="n">
        <v>0</v>
      </c>
      <c r="AR427" t="inlineStr">
        <is>
          <t>No</t>
        </is>
      </c>
      <c r="AS427" t="inlineStr">
        <is>
          <t>Yes</t>
        </is>
      </c>
      <c r="AT427">
        <f>HYPERLINK("http://catalog.hathitrust.org/Record/002575255","HathiTrust Record")</f>
        <v/>
      </c>
      <c r="AU427">
        <f>HYPERLINK("https://creighton-primo.hosted.exlibrisgroup.com/primo-explore/search?tab=default_tab&amp;search_scope=EVERYTHING&amp;vid=01CRU&amp;lang=en_US&amp;offset=0&amp;query=any,contains,991003845789702656","Catalog Record")</f>
        <v/>
      </c>
      <c r="AV427">
        <f>HYPERLINK("http://www.worldcat.org/oclc/25987683","WorldCat Record")</f>
        <v/>
      </c>
      <c r="AW427" t="inlineStr">
        <is>
          <t>317423295:spa</t>
        </is>
      </c>
      <c r="AX427" t="inlineStr">
        <is>
          <t>25987683</t>
        </is>
      </c>
      <c r="AY427" t="inlineStr">
        <is>
          <t>991003845789702656</t>
        </is>
      </c>
      <c r="AZ427" t="inlineStr">
        <is>
          <t>991003845789702656</t>
        </is>
      </c>
      <c r="BA427" t="inlineStr">
        <is>
          <t>2256053620002656</t>
        </is>
      </c>
      <c r="BB427" t="inlineStr">
        <is>
          <t>BOOK</t>
        </is>
      </c>
      <c r="BD427" t="inlineStr">
        <is>
          <t>9788432307362</t>
        </is>
      </c>
      <c r="BE427" t="inlineStr">
        <is>
          <t>32285004499652</t>
        </is>
      </c>
      <c r="BF427" t="inlineStr">
        <is>
          <t>893781494</t>
        </is>
      </c>
    </row>
    <row r="428">
      <c r="A428" t="inlineStr">
        <is>
          <t>No</t>
        </is>
      </c>
      <c r="B428" t="inlineStr">
        <is>
          <t>CURAL</t>
        </is>
      </c>
      <c r="C428" t="inlineStr">
        <is>
          <t>SHELVES</t>
        </is>
      </c>
      <c r="D428" t="inlineStr">
        <is>
          <t>PQ6057 .D53 1977</t>
        </is>
      </c>
      <c r="E428" t="inlineStr">
        <is>
          <t>0                      PQ 6057000D  53          1977</t>
        </is>
      </c>
      <c r="F428" t="inlineStr">
        <is>
          <t>El fuego de la palabra : ensayos e interpretaciones críticas / Pedro Díaz Seijas.</t>
        </is>
      </c>
      <c r="H428" t="inlineStr">
        <is>
          <t>No</t>
        </is>
      </c>
      <c r="I428" t="inlineStr">
        <is>
          <t>1</t>
        </is>
      </c>
      <c r="J428" t="inlineStr">
        <is>
          <t>No</t>
        </is>
      </c>
      <c r="K428" t="inlineStr">
        <is>
          <t>No</t>
        </is>
      </c>
      <c r="L428" t="inlineStr">
        <is>
          <t>0</t>
        </is>
      </c>
      <c r="M428" t="inlineStr">
        <is>
          <t>Díaz Seijas, Pedro.</t>
        </is>
      </c>
      <c r="N428" t="inlineStr">
        <is>
          <t>Caracas : Asociación de Escritores Venezolanos, 1977.</t>
        </is>
      </c>
      <c r="O428" t="inlineStr">
        <is>
          <t>1977</t>
        </is>
      </c>
      <c r="Q428" t="inlineStr">
        <is>
          <t>spa</t>
        </is>
      </c>
      <c r="R428" t="inlineStr">
        <is>
          <t xml:space="preserve">ve </t>
        </is>
      </c>
      <c r="S428" t="inlineStr">
        <is>
          <t>Cuadernos literarios de la "Asociación de Escritores Venezolanos" ; 139</t>
        </is>
      </c>
      <c r="T428" t="inlineStr">
        <is>
          <t xml:space="preserve">PQ </t>
        </is>
      </c>
      <c r="U428" t="n">
        <v>1</v>
      </c>
      <c r="V428" t="n">
        <v>1</v>
      </c>
      <c r="W428" t="inlineStr">
        <is>
          <t>2002-06-10</t>
        </is>
      </c>
      <c r="X428" t="inlineStr">
        <is>
          <t>2002-06-10</t>
        </is>
      </c>
      <c r="Y428" t="inlineStr">
        <is>
          <t>2002-06-10</t>
        </is>
      </c>
      <c r="Z428" t="inlineStr">
        <is>
          <t>2002-06-10</t>
        </is>
      </c>
      <c r="AA428" t="n">
        <v>11</v>
      </c>
      <c r="AB428" t="n">
        <v>11</v>
      </c>
      <c r="AC428" t="n">
        <v>11</v>
      </c>
      <c r="AD428" t="n">
        <v>1</v>
      </c>
      <c r="AE428" t="n">
        <v>1</v>
      </c>
      <c r="AF428" t="n">
        <v>0</v>
      </c>
      <c r="AG428" t="n">
        <v>0</v>
      </c>
      <c r="AH428" t="n">
        <v>0</v>
      </c>
      <c r="AI428" t="n">
        <v>0</v>
      </c>
      <c r="AJ428" t="n">
        <v>0</v>
      </c>
      <c r="AK428" t="n">
        <v>0</v>
      </c>
      <c r="AL428" t="n">
        <v>0</v>
      </c>
      <c r="AM428" t="n">
        <v>0</v>
      </c>
      <c r="AN428" t="n">
        <v>0</v>
      </c>
      <c r="AO428" t="n">
        <v>0</v>
      </c>
      <c r="AP428" t="n">
        <v>0</v>
      </c>
      <c r="AQ428" t="n">
        <v>0</v>
      </c>
      <c r="AR428" t="inlineStr">
        <is>
          <t>No</t>
        </is>
      </c>
      <c r="AS428" t="inlineStr">
        <is>
          <t>No</t>
        </is>
      </c>
      <c r="AU428">
        <f>HYPERLINK("https://creighton-primo.hosted.exlibrisgroup.com/primo-explore/search?tab=default_tab&amp;search_scope=EVERYTHING&amp;vid=01CRU&amp;lang=en_US&amp;offset=0&amp;query=any,contains,991003816979702656","Catalog Record")</f>
        <v/>
      </c>
      <c r="AV428">
        <f>HYPERLINK("http://www.worldcat.org/oclc/8353959","WorldCat Record")</f>
        <v/>
      </c>
      <c r="AW428" t="inlineStr">
        <is>
          <t>31442054:spa</t>
        </is>
      </c>
      <c r="AX428" t="inlineStr">
        <is>
          <t>8353959</t>
        </is>
      </c>
      <c r="AY428" t="inlineStr">
        <is>
          <t>991003816979702656</t>
        </is>
      </c>
      <c r="AZ428" t="inlineStr">
        <is>
          <t>991003816979702656</t>
        </is>
      </c>
      <c r="BA428" t="inlineStr">
        <is>
          <t>2258335550002656</t>
        </is>
      </c>
      <c r="BB428" t="inlineStr">
        <is>
          <t>BOOK</t>
        </is>
      </c>
      <c r="BE428" t="inlineStr">
        <is>
          <t>32285004485362</t>
        </is>
      </c>
      <c r="BF428" t="inlineStr">
        <is>
          <t>893592919</t>
        </is>
      </c>
    </row>
    <row r="429">
      <c r="A429" t="inlineStr">
        <is>
          <t>No</t>
        </is>
      </c>
      <c r="B429" t="inlineStr">
        <is>
          <t>CURAL</t>
        </is>
      </c>
      <c r="C429" t="inlineStr">
        <is>
          <t>SHELVES</t>
        </is>
      </c>
      <c r="D429" t="inlineStr">
        <is>
          <t>PQ6057 .G7</t>
        </is>
      </c>
      <c r="E429" t="inlineStr">
        <is>
          <t>0                      PQ 6057000G  7</t>
        </is>
      </c>
      <c r="F429" t="inlineStr">
        <is>
          <t>Spain and the Western tradition : the Castilian mind in literature from El Cid to Calderón.</t>
        </is>
      </c>
      <c r="G429" t="inlineStr">
        <is>
          <t>V. 1</t>
        </is>
      </c>
      <c r="H429" t="inlineStr">
        <is>
          <t>Yes</t>
        </is>
      </c>
      <c r="I429" t="inlineStr">
        <is>
          <t>1</t>
        </is>
      </c>
      <c r="J429" t="inlineStr">
        <is>
          <t>No</t>
        </is>
      </c>
      <c r="K429" t="inlineStr">
        <is>
          <t>No</t>
        </is>
      </c>
      <c r="L429" t="inlineStr">
        <is>
          <t>0</t>
        </is>
      </c>
      <c r="M429" t="inlineStr">
        <is>
          <t>Green, Otis H. (Otis Howard), 1898-1978.</t>
        </is>
      </c>
      <c r="N429" t="inlineStr">
        <is>
          <t>Madison : University of Wisconsin Press, 1963-1966.</t>
        </is>
      </c>
      <c r="O429" t="inlineStr">
        <is>
          <t>1963</t>
        </is>
      </c>
      <c r="Q429" t="inlineStr">
        <is>
          <t>eng</t>
        </is>
      </c>
      <c r="R429" t="inlineStr">
        <is>
          <t>wiu</t>
        </is>
      </c>
      <c r="T429" t="inlineStr">
        <is>
          <t xml:space="preserve">PQ </t>
        </is>
      </c>
      <c r="U429" t="n">
        <v>1</v>
      </c>
      <c r="V429" t="n">
        <v>7</v>
      </c>
      <c r="W429" t="inlineStr">
        <is>
          <t>2001-09-28</t>
        </is>
      </c>
      <c r="X429" t="inlineStr">
        <is>
          <t>2001-09-28</t>
        </is>
      </c>
      <c r="Y429" t="inlineStr">
        <is>
          <t>1991-05-22</t>
        </is>
      </c>
      <c r="Z429" t="inlineStr">
        <is>
          <t>1991-05-22</t>
        </is>
      </c>
      <c r="AA429" t="n">
        <v>1188</v>
      </c>
      <c r="AB429" t="n">
        <v>1082</v>
      </c>
      <c r="AC429" t="n">
        <v>1142</v>
      </c>
      <c r="AD429" t="n">
        <v>11</v>
      </c>
      <c r="AE429" t="n">
        <v>11</v>
      </c>
      <c r="AF429" t="n">
        <v>47</v>
      </c>
      <c r="AG429" t="n">
        <v>47</v>
      </c>
      <c r="AH429" t="n">
        <v>16</v>
      </c>
      <c r="AI429" t="n">
        <v>16</v>
      </c>
      <c r="AJ429" t="n">
        <v>9</v>
      </c>
      <c r="AK429" t="n">
        <v>9</v>
      </c>
      <c r="AL429" t="n">
        <v>23</v>
      </c>
      <c r="AM429" t="n">
        <v>23</v>
      </c>
      <c r="AN429" t="n">
        <v>10</v>
      </c>
      <c r="AO429" t="n">
        <v>10</v>
      </c>
      <c r="AP429" t="n">
        <v>0</v>
      </c>
      <c r="AQ429" t="n">
        <v>0</v>
      </c>
      <c r="AR429" t="inlineStr">
        <is>
          <t>No</t>
        </is>
      </c>
      <c r="AS429" t="inlineStr">
        <is>
          <t>Yes</t>
        </is>
      </c>
      <c r="AT429">
        <f>HYPERLINK("http://catalog.hathitrust.org/Record/000317574","HathiTrust Record")</f>
        <v/>
      </c>
      <c r="AU429">
        <f>HYPERLINK("https://creighton-primo.hosted.exlibrisgroup.com/primo-explore/search?tab=default_tab&amp;search_scope=EVERYTHING&amp;vid=01CRU&amp;lang=en_US&amp;offset=0&amp;query=any,contains,991002425899702656","Catalog Record")</f>
        <v/>
      </c>
      <c r="AV429">
        <f>HYPERLINK("http://www.worldcat.org/oclc/344886","WorldCat Record")</f>
        <v/>
      </c>
      <c r="AW429" t="inlineStr">
        <is>
          <t>9349384196:eng</t>
        </is>
      </c>
      <c r="AX429" t="inlineStr">
        <is>
          <t>344886</t>
        </is>
      </c>
      <c r="AY429" t="inlineStr">
        <is>
          <t>991002425899702656</t>
        </is>
      </c>
      <c r="AZ429" t="inlineStr">
        <is>
          <t>991002425899702656</t>
        </is>
      </c>
      <c r="BA429" t="inlineStr">
        <is>
          <t>2269892890002656</t>
        </is>
      </c>
      <c r="BB429" t="inlineStr">
        <is>
          <t>BOOK</t>
        </is>
      </c>
      <c r="BE429" t="inlineStr">
        <is>
          <t>32285000598382</t>
        </is>
      </c>
      <c r="BF429" t="inlineStr">
        <is>
          <t>893245160</t>
        </is>
      </c>
    </row>
    <row r="430">
      <c r="A430" t="inlineStr">
        <is>
          <t>No</t>
        </is>
      </c>
      <c r="B430" t="inlineStr">
        <is>
          <t>CURAL</t>
        </is>
      </c>
      <c r="C430" t="inlineStr">
        <is>
          <t>SHELVES</t>
        </is>
      </c>
      <c r="D430" t="inlineStr">
        <is>
          <t>PQ6057 .G7</t>
        </is>
      </c>
      <c r="E430" t="inlineStr">
        <is>
          <t>0                      PQ 6057000G  7</t>
        </is>
      </c>
      <c r="F430" t="inlineStr">
        <is>
          <t>Spain and the Western tradition : the Castilian mind in literature from El Cid to Calderón.</t>
        </is>
      </c>
      <c r="G430" t="inlineStr">
        <is>
          <t>V. 2</t>
        </is>
      </c>
      <c r="H430" t="inlineStr">
        <is>
          <t>Yes</t>
        </is>
      </c>
      <c r="I430" t="inlineStr">
        <is>
          <t>1</t>
        </is>
      </c>
      <c r="J430" t="inlineStr">
        <is>
          <t>No</t>
        </is>
      </c>
      <c r="K430" t="inlineStr">
        <is>
          <t>No</t>
        </is>
      </c>
      <c r="L430" t="inlineStr">
        <is>
          <t>0</t>
        </is>
      </c>
      <c r="M430" t="inlineStr">
        <is>
          <t>Green, Otis H. (Otis Howard), 1898-1978.</t>
        </is>
      </c>
      <c r="N430" t="inlineStr">
        <is>
          <t>Madison : University of Wisconsin Press, 1963-1966.</t>
        </is>
      </c>
      <c r="O430" t="inlineStr">
        <is>
          <t>1963</t>
        </is>
      </c>
      <c r="Q430" t="inlineStr">
        <is>
          <t>eng</t>
        </is>
      </c>
      <c r="R430" t="inlineStr">
        <is>
          <t>wiu</t>
        </is>
      </c>
      <c r="T430" t="inlineStr">
        <is>
          <t xml:space="preserve">PQ </t>
        </is>
      </c>
      <c r="U430" t="n">
        <v>5</v>
      </c>
      <c r="V430" t="n">
        <v>7</v>
      </c>
      <c r="W430" t="inlineStr">
        <is>
          <t>1998-10-14</t>
        </is>
      </c>
      <c r="X430" t="inlineStr">
        <is>
          <t>2001-09-28</t>
        </is>
      </c>
      <c r="Y430" t="inlineStr">
        <is>
          <t>1991-05-22</t>
        </is>
      </c>
      <c r="Z430" t="inlineStr">
        <is>
          <t>1991-05-22</t>
        </is>
      </c>
      <c r="AA430" t="n">
        <v>1188</v>
      </c>
      <c r="AB430" t="n">
        <v>1082</v>
      </c>
      <c r="AC430" t="n">
        <v>1142</v>
      </c>
      <c r="AD430" t="n">
        <v>11</v>
      </c>
      <c r="AE430" t="n">
        <v>11</v>
      </c>
      <c r="AF430" t="n">
        <v>47</v>
      </c>
      <c r="AG430" t="n">
        <v>47</v>
      </c>
      <c r="AH430" t="n">
        <v>16</v>
      </c>
      <c r="AI430" t="n">
        <v>16</v>
      </c>
      <c r="AJ430" t="n">
        <v>9</v>
      </c>
      <c r="AK430" t="n">
        <v>9</v>
      </c>
      <c r="AL430" t="n">
        <v>23</v>
      </c>
      <c r="AM430" t="n">
        <v>23</v>
      </c>
      <c r="AN430" t="n">
        <v>10</v>
      </c>
      <c r="AO430" t="n">
        <v>10</v>
      </c>
      <c r="AP430" t="n">
        <v>0</v>
      </c>
      <c r="AQ430" t="n">
        <v>0</v>
      </c>
      <c r="AR430" t="inlineStr">
        <is>
          <t>No</t>
        </is>
      </c>
      <c r="AS430" t="inlineStr">
        <is>
          <t>Yes</t>
        </is>
      </c>
      <c r="AT430">
        <f>HYPERLINK("http://catalog.hathitrust.org/Record/000317574","HathiTrust Record")</f>
        <v/>
      </c>
      <c r="AU430">
        <f>HYPERLINK("https://creighton-primo.hosted.exlibrisgroup.com/primo-explore/search?tab=default_tab&amp;search_scope=EVERYTHING&amp;vid=01CRU&amp;lang=en_US&amp;offset=0&amp;query=any,contains,991002425899702656","Catalog Record")</f>
        <v/>
      </c>
      <c r="AV430">
        <f>HYPERLINK("http://www.worldcat.org/oclc/344886","WorldCat Record")</f>
        <v/>
      </c>
      <c r="AW430" t="inlineStr">
        <is>
          <t>9349384196:eng</t>
        </is>
      </c>
      <c r="AX430" t="inlineStr">
        <is>
          <t>344886</t>
        </is>
      </c>
      <c r="AY430" t="inlineStr">
        <is>
          <t>991002425899702656</t>
        </is>
      </c>
      <c r="AZ430" t="inlineStr">
        <is>
          <t>991002425899702656</t>
        </is>
      </c>
      <c r="BA430" t="inlineStr">
        <is>
          <t>2269892890002656</t>
        </is>
      </c>
      <c r="BB430" t="inlineStr">
        <is>
          <t>BOOK</t>
        </is>
      </c>
      <c r="BE430" t="inlineStr">
        <is>
          <t>32285000598390</t>
        </is>
      </c>
      <c r="BF430" t="inlineStr">
        <is>
          <t>893226822</t>
        </is>
      </c>
    </row>
    <row r="431">
      <c r="A431" t="inlineStr">
        <is>
          <t>No</t>
        </is>
      </c>
      <c r="B431" t="inlineStr">
        <is>
          <t>CURAL</t>
        </is>
      </c>
      <c r="C431" t="inlineStr">
        <is>
          <t>SHELVES</t>
        </is>
      </c>
      <c r="D431" t="inlineStr">
        <is>
          <t>PQ6057 .G7</t>
        </is>
      </c>
      <c r="E431" t="inlineStr">
        <is>
          <t>0                      PQ 6057000G  7</t>
        </is>
      </c>
      <c r="F431" t="inlineStr">
        <is>
          <t>Spain and the Western tradition : the Castilian mind in literature from El Cid to Calderón.</t>
        </is>
      </c>
      <c r="G431" t="inlineStr">
        <is>
          <t>V. 3</t>
        </is>
      </c>
      <c r="H431" t="inlineStr">
        <is>
          <t>Yes</t>
        </is>
      </c>
      <c r="I431" t="inlineStr">
        <is>
          <t>1</t>
        </is>
      </c>
      <c r="J431" t="inlineStr">
        <is>
          <t>No</t>
        </is>
      </c>
      <c r="K431" t="inlineStr">
        <is>
          <t>No</t>
        </is>
      </c>
      <c r="L431" t="inlineStr">
        <is>
          <t>0</t>
        </is>
      </c>
      <c r="M431" t="inlineStr">
        <is>
          <t>Green, Otis H. (Otis Howard), 1898-1978.</t>
        </is>
      </c>
      <c r="N431" t="inlineStr">
        <is>
          <t>Madison : University of Wisconsin Press, 1963-1966.</t>
        </is>
      </c>
      <c r="O431" t="inlineStr">
        <is>
          <t>1963</t>
        </is>
      </c>
      <c r="Q431" t="inlineStr">
        <is>
          <t>eng</t>
        </is>
      </c>
      <c r="R431" t="inlineStr">
        <is>
          <t>wiu</t>
        </is>
      </c>
      <c r="T431" t="inlineStr">
        <is>
          <t xml:space="preserve">PQ </t>
        </is>
      </c>
      <c r="U431" t="n">
        <v>0</v>
      </c>
      <c r="V431" t="n">
        <v>7</v>
      </c>
      <c r="X431" t="inlineStr">
        <is>
          <t>2001-09-28</t>
        </is>
      </c>
      <c r="Y431" t="inlineStr">
        <is>
          <t>1991-05-22</t>
        </is>
      </c>
      <c r="Z431" t="inlineStr">
        <is>
          <t>1991-05-22</t>
        </is>
      </c>
      <c r="AA431" t="n">
        <v>1188</v>
      </c>
      <c r="AB431" t="n">
        <v>1082</v>
      </c>
      <c r="AC431" t="n">
        <v>1142</v>
      </c>
      <c r="AD431" t="n">
        <v>11</v>
      </c>
      <c r="AE431" t="n">
        <v>11</v>
      </c>
      <c r="AF431" t="n">
        <v>47</v>
      </c>
      <c r="AG431" t="n">
        <v>47</v>
      </c>
      <c r="AH431" t="n">
        <v>16</v>
      </c>
      <c r="AI431" t="n">
        <v>16</v>
      </c>
      <c r="AJ431" t="n">
        <v>9</v>
      </c>
      <c r="AK431" t="n">
        <v>9</v>
      </c>
      <c r="AL431" t="n">
        <v>23</v>
      </c>
      <c r="AM431" t="n">
        <v>23</v>
      </c>
      <c r="AN431" t="n">
        <v>10</v>
      </c>
      <c r="AO431" t="n">
        <v>10</v>
      </c>
      <c r="AP431" t="n">
        <v>0</v>
      </c>
      <c r="AQ431" t="n">
        <v>0</v>
      </c>
      <c r="AR431" t="inlineStr">
        <is>
          <t>No</t>
        </is>
      </c>
      <c r="AS431" t="inlineStr">
        <is>
          <t>Yes</t>
        </is>
      </c>
      <c r="AT431">
        <f>HYPERLINK("http://catalog.hathitrust.org/Record/000317574","HathiTrust Record")</f>
        <v/>
      </c>
      <c r="AU431">
        <f>HYPERLINK("https://creighton-primo.hosted.exlibrisgroup.com/primo-explore/search?tab=default_tab&amp;search_scope=EVERYTHING&amp;vid=01CRU&amp;lang=en_US&amp;offset=0&amp;query=any,contains,991002425899702656","Catalog Record")</f>
        <v/>
      </c>
      <c r="AV431">
        <f>HYPERLINK("http://www.worldcat.org/oclc/344886","WorldCat Record")</f>
        <v/>
      </c>
      <c r="AW431" t="inlineStr">
        <is>
          <t>9349384196:eng</t>
        </is>
      </c>
      <c r="AX431" t="inlineStr">
        <is>
          <t>344886</t>
        </is>
      </c>
      <c r="AY431" t="inlineStr">
        <is>
          <t>991002425899702656</t>
        </is>
      </c>
      <c r="AZ431" t="inlineStr">
        <is>
          <t>991002425899702656</t>
        </is>
      </c>
      <c r="BA431" t="inlineStr">
        <is>
          <t>2269892890002656</t>
        </is>
      </c>
      <c r="BB431" t="inlineStr">
        <is>
          <t>BOOK</t>
        </is>
      </c>
      <c r="BE431" t="inlineStr">
        <is>
          <t>32285000598408</t>
        </is>
      </c>
      <c r="BF431" t="inlineStr">
        <is>
          <t>893245161</t>
        </is>
      </c>
    </row>
    <row r="432">
      <c r="A432" t="inlineStr">
        <is>
          <t>No</t>
        </is>
      </c>
      <c r="B432" t="inlineStr">
        <is>
          <t>CURAL</t>
        </is>
      </c>
      <c r="C432" t="inlineStr">
        <is>
          <t>SHELVES</t>
        </is>
      </c>
      <c r="D432" t="inlineStr">
        <is>
          <t>PQ6057 .G7</t>
        </is>
      </c>
      <c r="E432" t="inlineStr">
        <is>
          <t>0                      PQ 6057000G  7</t>
        </is>
      </c>
      <c r="F432" t="inlineStr">
        <is>
          <t>Spain and the Western tradition : the Castilian mind in literature from El Cid to Calderón.</t>
        </is>
      </c>
      <c r="G432" t="inlineStr">
        <is>
          <t>V. 4</t>
        </is>
      </c>
      <c r="H432" t="inlineStr">
        <is>
          <t>Yes</t>
        </is>
      </c>
      <c r="I432" t="inlineStr">
        <is>
          <t>1</t>
        </is>
      </c>
      <c r="J432" t="inlineStr">
        <is>
          <t>No</t>
        </is>
      </c>
      <c r="K432" t="inlineStr">
        <is>
          <t>No</t>
        </is>
      </c>
      <c r="L432" t="inlineStr">
        <is>
          <t>0</t>
        </is>
      </c>
      <c r="M432" t="inlineStr">
        <is>
          <t>Green, Otis H. (Otis Howard), 1898-1978.</t>
        </is>
      </c>
      <c r="N432" t="inlineStr">
        <is>
          <t>Madison : University of Wisconsin Press, 1963-1966.</t>
        </is>
      </c>
      <c r="O432" t="inlineStr">
        <is>
          <t>1963</t>
        </is>
      </c>
      <c r="Q432" t="inlineStr">
        <is>
          <t>eng</t>
        </is>
      </c>
      <c r="R432" t="inlineStr">
        <is>
          <t>wiu</t>
        </is>
      </c>
      <c r="T432" t="inlineStr">
        <is>
          <t xml:space="preserve">PQ </t>
        </is>
      </c>
      <c r="U432" t="n">
        <v>1</v>
      </c>
      <c r="V432" t="n">
        <v>7</v>
      </c>
      <c r="W432" t="inlineStr">
        <is>
          <t>1995-09-23</t>
        </is>
      </c>
      <c r="X432" t="inlineStr">
        <is>
          <t>2001-09-28</t>
        </is>
      </c>
      <c r="Y432" t="inlineStr">
        <is>
          <t>1991-05-22</t>
        </is>
      </c>
      <c r="Z432" t="inlineStr">
        <is>
          <t>1991-05-22</t>
        </is>
      </c>
      <c r="AA432" t="n">
        <v>1188</v>
      </c>
      <c r="AB432" t="n">
        <v>1082</v>
      </c>
      <c r="AC432" t="n">
        <v>1142</v>
      </c>
      <c r="AD432" t="n">
        <v>11</v>
      </c>
      <c r="AE432" t="n">
        <v>11</v>
      </c>
      <c r="AF432" t="n">
        <v>47</v>
      </c>
      <c r="AG432" t="n">
        <v>47</v>
      </c>
      <c r="AH432" t="n">
        <v>16</v>
      </c>
      <c r="AI432" t="n">
        <v>16</v>
      </c>
      <c r="AJ432" t="n">
        <v>9</v>
      </c>
      <c r="AK432" t="n">
        <v>9</v>
      </c>
      <c r="AL432" t="n">
        <v>23</v>
      </c>
      <c r="AM432" t="n">
        <v>23</v>
      </c>
      <c r="AN432" t="n">
        <v>10</v>
      </c>
      <c r="AO432" t="n">
        <v>10</v>
      </c>
      <c r="AP432" t="n">
        <v>0</v>
      </c>
      <c r="AQ432" t="n">
        <v>0</v>
      </c>
      <c r="AR432" t="inlineStr">
        <is>
          <t>No</t>
        </is>
      </c>
      <c r="AS432" t="inlineStr">
        <is>
          <t>Yes</t>
        </is>
      </c>
      <c r="AT432">
        <f>HYPERLINK("http://catalog.hathitrust.org/Record/000317574","HathiTrust Record")</f>
        <v/>
      </c>
      <c r="AU432">
        <f>HYPERLINK("https://creighton-primo.hosted.exlibrisgroup.com/primo-explore/search?tab=default_tab&amp;search_scope=EVERYTHING&amp;vid=01CRU&amp;lang=en_US&amp;offset=0&amp;query=any,contains,991002425899702656","Catalog Record")</f>
        <v/>
      </c>
      <c r="AV432">
        <f>HYPERLINK("http://www.worldcat.org/oclc/344886","WorldCat Record")</f>
        <v/>
      </c>
      <c r="AW432" t="inlineStr">
        <is>
          <t>9349384196:eng</t>
        </is>
      </c>
      <c r="AX432" t="inlineStr">
        <is>
          <t>344886</t>
        </is>
      </c>
      <c r="AY432" t="inlineStr">
        <is>
          <t>991002425899702656</t>
        </is>
      </c>
      <c r="AZ432" t="inlineStr">
        <is>
          <t>991002425899702656</t>
        </is>
      </c>
      <c r="BA432" t="inlineStr">
        <is>
          <t>2269892890002656</t>
        </is>
      </c>
      <c r="BB432" t="inlineStr">
        <is>
          <t>BOOK</t>
        </is>
      </c>
      <c r="BE432" t="inlineStr">
        <is>
          <t>32285000598416</t>
        </is>
      </c>
      <c r="BF432" t="inlineStr">
        <is>
          <t>893251200</t>
        </is>
      </c>
    </row>
    <row r="433">
      <c r="A433" t="inlineStr">
        <is>
          <t>No</t>
        </is>
      </c>
      <c r="B433" t="inlineStr">
        <is>
          <t>CURAL</t>
        </is>
      </c>
      <c r="C433" t="inlineStr">
        <is>
          <t>SHELVES</t>
        </is>
      </c>
      <c r="D433" t="inlineStr">
        <is>
          <t>PQ6057 .H5818 1994</t>
        </is>
      </c>
      <c r="E433" t="inlineStr">
        <is>
          <t>0                      PQ 6057000H  5818        1994</t>
        </is>
      </c>
      <c r="F433" t="inlineStr">
        <is>
          <t>Historia de la literatura española / obra dirigida por Jean Canavaggio ; con la colaboración de Bernard Darbord ... [et al.] ; edición española a cargo de Rosa Navarro Durán.</t>
        </is>
      </c>
      <c r="G433" t="inlineStr">
        <is>
          <t>V. 1</t>
        </is>
      </c>
      <c r="H433" t="inlineStr">
        <is>
          <t>Yes</t>
        </is>
      </c>
      <c r="I433" t="inlineStr">
        <is>
          <t>1</t>
        </is>
      </c>
      <c r="J433" t="inlineStr">
        <is>
          <t>No</t>
        </is>
      </c>
      <c r="K433" t="inlineStr">
        <is>
          <t>No</t>
        </is>
      </c>
      <c r="L433" t="inlineStr">
        <is>
          <t>0</t>
        </is>
      </c>
      <c r="M433" t="inlineStr">
        <is>
          <t>Histoire de la littérature espagnole (Fayard (Firm)). Spanish.</t>
        </is>
      </c>
      <c r="N433" t="inlineStr">
        <is>
          <t>Barcelona : Ariel, 1994-</t>
        </is>
      </c>
      <c r="O433" t="inlineStr">
        <is>
          <t>1994</t>
        </is>
      </c>
      <c r="P433" t="inlineStr">
        <is>
          <t>1. ed.</t>
        </is>
      </c>
      <c r="Q433" t="inlineStr">
        <is>
          <t>spa</t>
        </is>
      </c>
      <c r="R433" t="inlineStr">
        <is>
          <t xml:space="preserve">sp </t>
        </is>
      </c>
      <c r="T433" t="inlineStr">
        <is>
          <t xml:space="preserve">PQ </t>
        </is>
      </c>
      <c r="U433" t="n">
        <v>2</v>
      </c>
      <c r="V433" t="n">
        <v>3</v>
      </c>
      <c r="W433" t="inlineStr">
        <is>
          <t>2006-09-29</t>
        </is>
      </c>
      <c r="X433" t="inlineStr">
        <is>
          <t>2006-09-29</t>
        </is>
      </c>
      <c r="Y433" t="inlineStr">
        <is>
          <t>2002-04-25</t>
        </is>
      </c>
      <c r="Z433" t="inlineStr">
        <is>
          <t>2002-04-30</t>
        </is>
      </c>
      <c r="AA433" t="n">
        <v>95</v>
      </c>
      <c r="AB433" t="n">
        <v>72</v>
      </c>
      <c r="AC433" t="n">
        <v>74</v>
      </c>
      <c r="AD433" t="n">
        <v>1</v>
      </c>
      <c r="AE433" t="n">
        <v>1</v>
      </c>
      <c r="AF433" t="n">
        <v>5</v>
      </c>
      <c r="AG433" t="n">
        <v>5</v>
      </c>
      <c r="AH433" t="n">
        <v>1</v>
      </c>
      <c r="AI433" t="n">
        <v>1</v>
      </c>
      <c r="AJ433" t="n">
        <v>1</v>
      </c>
      <c r="AK433" t="n">
        <v>1</v>
      </c>
      <c r="AL433" t="n">
        <v>4</v>
      </c>
      <c r="AM433" t="n">
        <v>4</v>
      </c>
      <c r="AN433" t="n">
        <v>0</v>
      </c>
      <c r="AO433" t="n">
        <v>0</v>
      </c>
      <c r="AP433" t="n">
        <v>0</v>
      </c>
      <c r="AQ433" t="n">
        <v>0</v>
      </c>
      <c r="AR433" t="inlineStr">
        <is>
          <t>No</t>
        </is>
      </c>
      <c r="AS433" t="inlineStr">
        <is>
          <t>Yes</t>
        </is>
      </c>
      <c r="AT433">
        <f>HYPERLINK("http://catalog.hathitrust.org/Record/003036701","HathiTrust Record")</f>
        <v/>
      </c>
      <c r="AU433">
        <f>HYPERLINK("https://creighton-primo.hosted.exlibrisgroup.com/primo-explore/search?tab=default_tab&amp;search_scope=EVERYTHING&amp;vid=01CRU&amp;lang=en_US&amp;offset=0&amp;query=any,contains,991003797139702656","Catalog Record")</f>
        <v/>
      </c>
      <c r="AV433">
        <f>HYPERLINK("http://www.worldcat.org/oclc/33495498","WorldCat Record")</f>
        <v/>
      </c>
      <c r="AW433" t="inlineStr">
        <is>
          <t>3758522272:spa</t>
        </is>
      </c>
      <c r="AX433" t="inlineStr">
        <is>
          <t>33495498</t>
        </is>
      </c>
      <c r="AY433" t="inlineStr">
        <is>
          <t>991003797139702656</t>
        </is>
      </c>
      <c r="AZ433" t="inlineStr">
        <is>
          <t>991003797139702656</t>
        </is>
      </c>
      <c r="BA433" t="inlineStr">
        <is>
          <t>2261210700002656</t>
        </is>
      </c>
      <c r="BB433" t="inlineStr">
        <is>
          <t>BOOK</t>
        </is>
      </c>
      <c r="BD433" t="inlineStr">
        <is>
          <t>9788434474536</t>
        </is>
      </c>
      <c r="BE433" t="inlineStr">
        <is>
          <t>32285004483474</t>
        </is>
      </c>
      <c r="BF433" t="inlineStr">
        <is>
          <t>893353045</t>
        </is>
      </c>
    </row>
    <row r="434">
      <c r="A434" t="inlineStr">
        <is>
          <t>No</t>
        </is>
      </c>
      <c r="B434" t="inlineStr">
        <is>
          <t>CURAL</t>
        </is>
      </c>
      <c r="C434" t="inlineStr">
        <is>
          <t>SHELVES</t>
        </is>
      </c>
      <c r="D434" t="inlineStr">
        <is>
          <t>PQ6058 .A84 1970</t>
        </is>
      </c>
      <c r="E434" t="inlineStr">
        <is>
          <t>0                      PQ 6058000A  84          1970</t>
        </is>
      </c>
      <c r="F434" t="inlineStr">
        <is>
          <t>Poética y realidad en el cancionero peninsular de la Edad Media.</t>
        </is>
      </c>
      <c r="H434" t="inlineStr">
        <is>
          <t>No</t>
        </is>
      </c>
      <c r="I434" t="inlineStr">
        <is>
          <t>1</t>
        </is>
      </c>
      <c r="J434" t="inlineStr">
        <is>
          <t>No</t>
        </is>
      </c>
      <c r="K434" t="inlineStr">
        <is>
          <t>No</t>
        </is>
      </c>
      <c r="L434" t="inlineStr">
        <is>
          <t>0</t>
        </is>
      </c>
      <c r="M434" t="inlineStr">
        <is>
          <t>Asensio, Eugenio.</t>
        </is>
      </c>
      <c r="N434" t="inlineStr">
        <is>
          <t>Madrid, Editorial Gredos [1970]</t>
        </is>
      </c>
      <c r="O434" t="inlineStr">
        <is>
          <t>1970</t>
        </is>
      </c>
      <c r="P434" t="inlineStr">
        <is>
          <t>2. ed. aumentada.</t>
        </is>
      </c>
      <c r="Q434" t="inlineStr">
        <is>
          <t>spa</t>
        </is>
      </c>
      <c r="R434" t="inlineStr">
        <is>
          <t xml:space="preserve">sp </t>
        </is>
      </c>
      <c r="S434" t="inlineStr">
        <is>
          <t>Biblioteca románica hispánica. 2: Estudios y ensayos, 34</t>
        </is>
      </c>
      <c r="T434" t="inlineStr">
        <is>
          <t xml:space="preserve">PQ </t>
        </is>
      </c>
      <c r="U434" t="n">
        <v>2</v>
      </c>
      <c r="V434" t="n">
        <v>2</v>
      </c>
      <c r="W434" t="inlineStr">
        <is>
          <t>2000-10-18</t>
        </is>
      </c>
      <c r="X434" t="inlineStr">
        <is>
          <t>2000-10-18</t>
        </is>
      </c>
      <c r="Y434" t="inlineStr">
        <is>
          <t>1997-06-25</t>
        </is>
      </c>
      <c r="Z434" t="inlineStr">
        <is>
          <t>1997-06-25</t>
        </is>
      </c>
      <c r="AA434" t="n">
        <v>215</v>
      </c>
      <c r="AB434" t="n">
        <v>165</v>
      </c>
      <c r="AC434" t="n">
        <v>321</v>
      </c>
      <c r="AD434" t="n">
        <v>3</v>
      </c>
      <c r="AE434" t="n">
        <v>3</v>
      </c>
      <c r="AF434" t="n">
        <v>11</v>
      </c>
      <c r="AG434" t="n">
        <v>16</v>
      </c>
      <c r="AH434" t="n">
        <v>1</v>
      </c>
      <c r="AI434" t="n">
        <v>3</v>
      </c>
      <c r="AJ434" t="n">
        <v>3</v>
      </c>
      <c r="AK434" t="n">
        <v>4</v>
      </c>
      <c r="AL434" t="n">
        <v>6</v>
      </c>
      <c r="AM434" t="n">
        <v>9</v>
      </c>
      <c r="AN434" t="n">
        <v>2</v>
      </c>
      <c r="AO434" t="n">
        <v>2</v>
      </c>
      <c r="AP434" t="n">
        <v>0</v>
      </c>
      <c r="AQ434" t="n">
        <v>0</v>
      </c>
      <c r="AR434" t="inlineStr">
        <is>
          <t>No</t>
        </is>
      </c>
      <c r="AS434" t="inlineStr">
        <is>
          <t>Yes</t>
        </is>
      </c>
      <c r="AT434">
        <f>HYPERLINK("http://catalog.hathitrust.org/Record/008553286","HathiTrust Record")</f>
        <v/>
      </c>
      <c r="AU434">
        <f>HYPERLINK("https://creighton-primo.hosted.exlibrisgroup.com/primo-explore/search?tab=default_tab&amp;search_scope=EVERYTHING&amp;vid=01CRU&amp;lang=en_US&amp;offset=0&amp;query=any,contains,991003326369702656","Catalog Record")</f>
        <v/>
      </c>
      <c r="AV434">
        <f>HYPERLINK("http://www.worldcat.org/oclc/855978","WorldCat Record")</f>
        <v/>
      </c>
      <c r="AW434" t="inlineStr">
        <is>
          <t>1804675:spa</t>
        </is>
      </c>
      <c r="AX434" t="inlineStr">
        <is>
          <t>855978</t>
        </is>
      </c>
      <c r="AY434" t="inlineStr">
        <is>
          <t>991003326369702656</t>
        </is>
      </c>
      <c r="AZ434" t="inlineStr">
        <is>
          <t>991003326369702656</t>
        </is>
      </c>
      <c r="BA434" t="inlineStr">
        <is>
          <t>2268040520002656</t>
        </is>
      </c>
      <c r="BB434" t="inlineStr">
        <is>
          <t>BOOK</t>
        </is>
      </c>
      <c r="BE434" t="inlineStr">
        <is>
          <t>32285002516036</t>
        </is>
      </c>
      <c r="BF434" t="inlineStr">
        <is>
          <t>893252263</t>
        </is>
      </c>
    </row>
    <row r="435">
      <c r="A435" t="inlineStr">
        <is>
          <t>No</t>
        </is>
      </c>
      <c r="B435" t="inlineStr">
        <is>
          <t>CURAL</t>
        </is>
      </c>
      <c r="C435" t="inlineStr">
        <is>
          <t>SHELVES</t>
        </is>
      </c>
      <c r="D435" t="inlineStr">
        <is>
          <t>PQ6058 .D4 1971</t>
        </is>
      </c>
      <c r="E435" t="inlineStr">
        <is>
          <t>0                      PQ 6058000D  4           1971</t>
        </is>
      </c>
      <c r="F435" t="inlineStr">
        <is>
          <t>The middle ages / [by] A. D. Deyermond.</t>
        </is>
      </c>
      <c r="H435" t="inlineStr">
        <is>
          <t>No</t>
        </is>
      </c>
      <c r="I435" t="inlineStr">
        <is>
          <t>1</t>
        </is>
      </c>
      <c r="J435" t="inlineStr">
        <is>
          <t>No</t>
        </is>
      </c>
      <c r="K435" t="inlineStr">
        <is>
          <t>No</t>
        </is>
      </c>
      <c r="L435" t="inlineStr">
        <is>
          <t>0</t>
        </is>
      </c>
      <c r="M435" t="inlineStr">
        <is>
          <t>Deyermond, A. D.</t>
        </is>
      </c>
      <c r="N435" t="inlineStr">
        <is>
          <t>London : Benn ; New York : Barnes &amp; Noble, 1971.</t>
        </is>
      </c>
      <c r="O435" t="inlineStr">
        <is>
          <t>1971</t>
        </is>
      </c>
      <c r="Q435" t="inlineStr">
        <is>
          <t>eng</t>
        </is>
      </c>
      <c r="R435" t="inlineStr">
        <is>
          <t>enk</t>
        </is>
      </c>
      <c r="S435" t="inlineStr">
        <is>
          <t>A Literary history of Spain</t>
        </is>
      </c>
      <c r="T435" t="inlineStr">
        <is>
          <t xml:space="preserve">PQ </t>
        </is>
      </c>
      <c r="U435" t="n">
        <v>7</v>
      </c>
      <c r="V435" t="n">
        <v>7</v>
      </c>
      <c r="W435" t="inlineStr">
        <is>
          <t>2001-09-28</t>
        </is>
      </c>
      <c r="X435" t="inlineStr">
        <is>
          <t>2001-09-28</t>
        </is>
      </c>
      <c r="Y435" t="inlineStr">
        <is>
          <t>1991-05-22</t>
        </is>
      </c>
      <c r="Z435" t="inlineStr">
        <is>
          <t>1991-05-22</t>
        </is>
      </c>
      <c r="AA435" t="n">
        <v>811</v>
      </c>
      <c r="AB435" t="n">
        <v>641</v>
      </c>
      <c r="AC435" t="n">
        <v>648</v>
      </c>
      <c r="AD435" t="n">
        <v>5</v>
      </c>
      <c r="AE435" t="n">
        <v>5</v>
      </c>
      <c r="AF435" t="n">
        <v>32</v>
      </c>
      <c r="AG435" t="n">
        <v>32</v>
      </c>
      <c r="AH435" t="n">
        <v>12</v>
      </c>
      <c r="AI435" t="n">
        <v>12</v>
      </c>
      <c r="AJ435" t="n">
        <v>8</v>
      </c>
      <c r="AK435" t="n">
        <v>8</v>
      </c>
      <c r="AL435" t="n">
        <v>16</v>
      </c>
      <c r="AM435" t="n">
        <v>16</v>
      </c>
      <c r="AN435" t="n">
        <v>4</v>
      </c>
      <c r="AO435" t="n">
        <v>4</v>
      </c>
      <c r="AP435" t="n">
        <v>0</v>
      </c>
      <c r="AQ435" t="n">
        <v>0</v>
      </c>
      <c r="AR435" t="inlineStr">
        <is>
          <t>No</t>
        </is>
      </c>
      <c r="AS435" t="inlineStr">
        <is>
          <t>Yes</t>
        </is>
      </c>
      <c r="AT435">
        <f>HYPERLINK("http://catalog.hathitrust.org/Record/001048536","HathiTrust Record")</f>
        <v/>
      </c>
      <c r="AU435">
        <f>HYPERLINK("https://creighton-primo.hosted.exlibrisgroup.com/primo-explore/search?tab=default_tab&amp;search_scope=EVERYTHING&amp;vid=01CRU&amp;lang=en_US&amp;offset=0&amp;query=any,contains,991001380759702656","Catalog Record")</f>
        <v/>
      </c>
      <c r="AV435">
        <f>HYPERLINK("http://www.worldcat.org/oclc/226260","WorldCat Record")</f>
        <v/>
      </c>
      <c r="AW435" t="inlineStr">
        <is>
          <t>3856458150:eng</t>
        </is>
      </c>
      <c r="AX435" t="inlineStr">
        <is>
          <t>226260</t>
        </is>
      </c>
      <c r="AY435" t="inlineStr">
        <is>
          <t>991001380759702656</t>
        </is>
      </c>
      <c r="AZ435" t="inlineStr">
        <is>
          <t>991001380759702656</t>
        </is>
      </c>
      <c r="BA435" t="inlineStr">
        <is>
          <t>2263196210002656</t>
        </is>
      </c>
      <c r="BB435" t="inlineStr">
        <is>
          <t>BOOK</t>
        </is>
      </c>
      <c r="BD435" t="inlineStr">
        <is>
          <t>9780510322519</t>
        </is>
      </c>
      <c r="BE435" t="inlineStr">
        <is>
          <t>32285000598424</t>
        </is>
      </c>
      <c r="BF435" t="inlineStr">
        <is>
          <t>893690574</t>
        </is>
      </c>
    </row>
    <row r="436">
      <c r="A436" t="inlineStr">
        <is>
          <t>No</t>
        </is>
      </c>
      <c r="B436" t="inlineStr">
        <is>
          <t>CURAL</t>
        </is>
      </c>
      <c r="C436" t="inlineStr">
        <is>
          <t>SHELVES</t>
        </is>
      </c>
      <c r="D436" t="inlineStr">
        <is>
          <t>PQ6058 .L6 1966</t>
        </is>
      </c>
      <c r="E436" t="inlineStr">
        <is>
          <t>0                      PQ 6058000L  6           1966</t>
        </is>
      </c>
      <c r="F436" t="inlineStr">
        <is>
          <t>Introducción a la literatura medieval española.</t>
        </is>
      </c>
      <c r="H436" t="inlineStr">
        <is>
          <t>No</t>
        </is>
      </c>
      <c r="I436" t="inlineStr">
        <is>
          <t>1</t>
        </is>
      </c>
      <c r="J436" t="inlineStr">
        <is>
          <t>No</t>
        </is>
      </c>
      <c r="K436" t="inlineStr">
        <is>
          <t>No</t>
        </is>
      </c>
      <c r="L436" t="inlineStr">
        <is>
          <t>0</t>
        </is>
      </c>
      <c r="M436" t="inlineStr">
        <is>
          <t>López Estrada, Francisco.</t>
        </is>
      </c>
      <c r="N436" t="inlineStr">
        <is>
          <t>Madrid, Editorial Gredos [1966]</t>
        </is>
      </c>
      <c r="O436" t="inlineStr">
        <is>
          <t>1966</t>
        </is>
      </c>
      <c r="P436" t="inlineStr">
        <is>
          <t>3. ed., renovada.</t>
        </is>
      </c>
      <c r="Q436" t="inlineStr">
        <is>
          <t>spa</t>
        </is>
      </c>
      <c r="R436" t="inlineStr">
        <is>
          <t xml:space="preserve">sp </t>
        </is>
      </c>
      <c r="S436" t="inlineStr">
        <is>
          <t>Biblioteca románica hispánica. 3. Manuales, 4</t>
        </is>
      </c>
      <c r="T436" t="inlineStr">
        <is>
          <t xml:space="preserve">PQ </t>
        </is>
      </c>
      <c r="U436" t="n">
        <v>5</v>
      </c>
      <c r="V436" t="n">
        <v>5</v>
      </c>
      <c r="W436" t="inlineStr">
        <is>
          <t>2000-11-20</t>
        </is>
      </c>
      <c r="X436" t="inlineStr">
        <is>
          <t>2000-11-20</t>
        </is>
      </c>
      <c r="Y436" t="inlineStr">
        <is>
          <t>1997-06-25</t>
        </is>
      </c>
      <c r="Z436" t="inlineStr">
        <is>
          <t>1997-06-25</t>
        </is>
      </c>
      <c r="AA436" t="n">
        <v>342</v>
      </c>
      <c r="AB436" t="n">
        <v>284</v>
      </c>
      <c r="AC436" t="n">
        <v>401</v>
      </c>
      <c r="AD436" t="n">
        <v>3</v>
      </c>
      <c r="AE436" t="n">
        <v>3</v>
      </c>
      <c r="AF436" t="n">
        <v>14</v>
      </c>
      <c r="AG436" t="n">
        <v>21</v>
      </c>
      <c r="AH436" t="n">
        <v>4</v>
      </c>
      <c r="AI436" t="n">
        <v>9</v>
      </c>
      <c r="AJ436" t="n">
        <v>3</v>
      </c>
      <c r="AK436" t="n">
        <v>5</v>
      </c>
      <c r="AL436" t="n">
        <v>9</v>
      </c>
      <c r="AM436" t="n">
        <v>12</v>
      </c>
      <c r="AN436" t="n">
        <v>2</v>
      </c>
      <c r="AO436" t="n">
        <v>2</v>
      </c>
      <c r="AP436" t="n">
        <v>0</v>
      </c>
      <c r="AQ436" t="n">
        <v>0</v>
      </c>
      <c r="AR436" t="inlineStr">
        <is>
          <t>No</t>
        </is>
      </c>
      <c r="AS436" t="inlineStr">
        <is>
          <t>Yes</t>
        </is>
      </c>
      <c r="AT436">
        <f>HYPERLINK("http://catalog.hathitrust.org/Record/007119737","HathiTrust Record")</f>
        <v/>
      </c>
      <c r="AU436">
        <f>HYPERLINK("https://creighton-primo.hosted.exlibrisgroup.com/primo-explore/search?tab=default_tab&amp;search_scope=EVERYTHING&amp;vid=01CRU&amp;lang=en_US&amp;offset=0&amp;query=any,contains,991002432069702656","Catalog Record")</f>
        <v/>
      </c>
      <c r="AV436">
        <f>HYPERLINK("http://www.worldcat.org/oclc/347534","WorldCat Record")</f>
        <v/>
      </c>
      <c r="AW436" t="inlineStr">
        <is>
          <t>1500015:spa</t>
        </is>
      </c>
      <c r="AX436" t="inlineStr">
        <is>
          <t>347534</t>
        </is>
      </c>
      <c r="AY436" t="inlineStr">
        <is>
          <t>991002432069702656</t>
        </is>
      </c>
      <c r="AZ436" t="inlineStr">
        <is>
          <t>991002432069702656</t>
        </is>
      </c>
      <c r="BA436" t="inlineStr">
        <is>
          <t>2272705220002656</t>
        </is>
      </c>
      <c r="BB436" t="inlineStr">
        <is>
          <t>BOOK</t>
        </is>
      </c>
      <c r="BE436" t="inlineStr">
        <is>
          <t>32285002516044</t>
        </is>
      </c>
      <c r="BF436" t="inlineStr">
        <is>
          <t>893415192</t>
        </is>
      </c>
    </row>
    <row r="437">
      <c r="A437" t="inlineStr">
        <is>
          <t>No</t>
        </is>
      </c>
      <c r="B437" t="inlineStr">
        <is>
          <t>CURAL</t>
        </is>
      </c>
      <c r="C437" t="inlineStr">
        <is>
          <t>SHELVES</t>
        </is>
      </c>
      <c r="D437" t="inlineStr">
        <is>
          <t>PQ6058 .M34</t>
        </is>
      </c>
      <c r="E437" t="inlineStr">
        <is>
          <t>0                      PQ 6058000M  34</t>
        </is>
      </c>
      <c r="F437" t="inlineStr">
        <is>
          <t>Literatura castellana medieval : de las jarchas a Alfonso X / Francisco Marcos Marín.</t>
        </is>
      </c>
      <c r="H437" t="inlineStr">
        <is>
          <t>No</t>
        </is>
      </c>
      <c r="I437" t="inlineStr">
        <is>
          <t>1</t>
        </is>
      </c>
      <c r="J437" t="inlineStr">
        <is>
          <t>No</t>
        </is>
      </c>
      <c r="K437" t="inlineStr">
        <is>
          <t>No</t>
        </is>
      </c>
      <c r="L437" t="inlineStr">
        <is>
          <t>0</t>
        </is>
      </c>
      <c r="M437" t="inlineStr">
        <is>
          <t>Marcos Marín, Francisco.</t>
        </is>
      </c>
      <c r="N437" t="inlineStr">
        <is>
          <t>Madrid : Cincel, c1980.</t>
        </is>
      </c>
      <c r="O437" t="inlineStr">
        <is>
          <t>1980</t>
        </is>
      </c>
      <c r="Q437" t="inlineStr">
        <is>
          <t>spa</t>
        </is>
      </c>
      <c r="R437" t="inlineStr">
        <is>
          <t xml:space="preserve">sp </t>
        </is>
      </c>
      <c r="S437" t="inlineStr">
        <is>
          <t>Cuadernos de estudio. Serie Literatura ; 1</t>
        </is>
      </c>
      <c r="T437" t="inlineStr">
        <is>
          <t xml:space="preserve">PQ </t>
        </is>
      </c>
      <c r="U437" t="n">
        <v>6</v>
      </c>
      <c r="V437" t="n">
        <v>6</v>
      </c>
      <c r="W437" t="inlineStr">
        <is>
          <t>1998-10-26</t>
        </is>
      </c>
      <c r="X437" t="inlineStr">
        <is>
          <t>1998-10-26</t>
        </is>
      </c>
      <c r="Y437" t="inlineStr">
        <is>
          <t>1991-05-22</t>
        </is>
      </c>
      <c r="Z437" t="inlineStr">
        <is>
          <t>1991-05-22</t>
        </is>
      </c>
      <c r="AA437" t="n">
        <v>101</v>
      </c>
      <c r="AB437" t="n">
        <v>61</v>
      </c>
      <c r="AC437" t="n">
        <v>70</v>
      </c>
      <c r="AD437" t="n">
        <v>1</v>
      </c>
      <c r="AE437" t="n">
        <v>1</v>
      </c>
      <c r="AF437" t="n">
        <v>1</v>
      </c>
      <c r="AG437" t="n">
        <v>2</v>
      </c>
      <c r="AH437" t="n">
        <v>0</v>
      </c>
      <c r="AI437" t="n">
        <v>0</v>
      </c>
      <c r="AJ437" t="n">
        <v>1</v>
      </c>
      <c r="AK437" t="n">
        <v>1</v>
      </c>
      <c r="AL437" t="n">
        <v>1</v>
      </c>
      <c r="AM437" t="n">
        <v>2</v>
      </c>
      <c r="AN437" t="n">
        <v>0</v>
      </c>
      <c r="AO437" t="n">
        <v>0</v>
      </c>
      <c r="AP437" t="n">
        <v>0</v>
      </c>
      <c r="AQ437" t="n">
        <v>0</v>
      </c>
      <c r="AR437" t="inlineStr">
        <is>
          <t>No</t>
        </is>
      </c>
      <c r="AS437" t="inlineStr">
        <is>
          <t>Yes</t>
        </is>
      </c>
      <c r="AT437">
        <f>HYPERLINK("http://catalog.hathitrust.org/Record/000195906","HathiTrust Record")</f>
        <v/>
      </c>
      <c r="AU437">
        <f>HYPERLINK("https://creighton-primo.hosted.exlibrisgroup.com/primo-explore/search?tab=default_tab&amp;search_scope=EVERYTHING&amp;vid=01CRU&amp;lang=en_US&amp;offset=0&amp;query=any,contains,991005180409702656","Catalog Record")</f>
        <v/>
      </c>
      <c r="AV437">
        <f>HYPERLINK("http://www.worldcat.org/oclc/7945464","WorldCat Record")</f>
        <v/>
      </c>
      <c r="AW437" t="inlineStr">
        <is>
          <t>793443981:spa</t>
        </is>
      </c>
      <c r="AX437" t="inlineStr">
        <is>
          <t>7945464</t>
        </is>
      </c>
      <c r="AY437" t="inlineStr">
        <is>
          <t>991005180409702656</t>
        </is>
      </c>
      <c r="AZ437" t="inlineStr">
        <is>
          <t>991005180409702656</t>
        </is>
      </c>
      <c r="BA437" t="inlineStr">
        <is>
          <t>2271197630002656</t>
        </is>
      </c>
      <c r="BB437" t="inlineStr">
        <is>
          <t>BOOK</t>
        </is>
      </c>
      <c r="BE437" t="inlineStr">
        <is>
          <t>32285000598432</t>
        </is>
      </c>
      <c r="BF437" t="inlineStr">
        <is>
          <t>893896018</t>
        </is>
      </c>
    </row>
    <row r="438">
      <c r="A438" t="inlineStr">
        <is>
          <t>No</t>
        </is>
      </c>
      <c r="B438" t="inlineStr">
        <is>
          <t>CURAL</t>
        </is>
      </c>
      <c r="C438" t="inlineStr">
        <is>
          <t>SHELVES</t>
        </is>
      </c>
      <c r="D438" t="inlineStr">
        <is>
          <t>PQ6060 .G28 1967</t>
        </is>
      </c>
      <c r="E438" t="inlineStr">
        <is>
          <t>0                      PQ 6060000G  28          1967</t>
        </is>
      </c>
      <c r="F438" t="inlineStr">
        <is>
          <t>Espiritu y milicia en la España medieval / José María Gárate Córdoba.</t>
        </is>
      </c>
      <c r="H438" t="inlineStr">
        <is>
          <t>No</t>
        </is>
      </c>
      <c r="I438" t="inlineStr">
        <is>
          <t>1</t>
        </is>
      </c>
      <c r="J438" t="inlineStr">
        <is>
          <t>No</t>
        </is>
      </c>
      <c r="K438" t="inlineStr">
        <is>
          <t>No</t>
        </is>
      </c>
      <c r="L438" t="inlineStr">
        <is>
          <t>0</t>
        </is>
      </c>
      <c r="M438" t="inlineStr">
        <is>
          <t>Gárate Córdoba, José María.</t>
        </is>
      </c>
      <c r="N438" t="inlineStr">
        <is>
          <t>Madrid : Publicaciones Españolas, 1967.</t>
        </is>
      </c>
      <c r="O438" t="inlineStr">
        <is>
          <t>1967</t>
        </is>
      </c>
      <c r="Q438" t="inlineStr">
        <is>
          <t>spa</t>
        </is>
      </c>
      <c r="R438" t="inlineStr">
        <is>
          <t xml:space="preserve">sp </t>
        </is>
      </c>
      <c r="S438" t="inlineStr">
        <is>
          <t>Claves de España ; 5</t>
        </is>
      </c>
      <c r="T438" t="inlineStr">
        <is>
          <t xml:space="preserve">PQ </t>
        </is>
      </c>
      <c r="U438" t="n">
        <v>1</v>
      </c>
      <c r="V438" t="n">
        <v>1</v>
      </c>
      <c r="W438" t="inlineStr">
        <is>
          <t>2005-03-22</t>
        </is>
      </c>
      <c r="X438" t="inlineStr">
        <is>
          <t>2005-03-22</t>
        </is>
      </c>
      <c r="Y438" t="inlineStr">
        <is>
          <t>2005-03-22</t>
        </is>
      </c>
      <c r="Z438" t="inlineStr">
        <is>
          <t>2005-03-22</t>
        </is>
      </c>
      <c r="AA438" t="n">
        <v>99</v>
      </c>
      <c r="AB438" t="n">
        <v>42</v>
      </c>
      <c r="AC438" t="n">
        <v>43</v>
      </c>
      <c r="AD438" t="n">
        <v>1</v>
      </c>
      <c r="AE438" t="n">
        <v>1</v>
      </c>
      <c r="AF438" t="n">
        <v>2</v>
      </c>
      <c r="AG438" t="n">
        <v>2</v>
      </c>
      <c r="AH438" t="n">
        <v>0</v>
      </c>
      <c r="AI438" t="n">
        <v>0</v>
      </c>
      <c r="AJ438" t="n">
        <v>1</v>
      </c>
      <c r="AK438" t="n">
        <v>1</v>
      </c>
      <c r="AL438" t="n">
        <v>2</v>
      </c>
      <c r="AM438" t="n">
        <v>2</v>
      </c>
      <c r="AN438" t="n">
        <v>0</v>
      </c>
      <c r="AO438" t="n">
        <v>0</v>
      </c>
      <c r="AP438" t="n">
        <v>0</v>
      </c>
      <c r="AQ438" t="n">
        <v>0</v>
      </c>
      <c r="AR438" t="inlineStr">
        <is>
          <t>No</t>
        </is>
      </c>
      <c r="AS438" t="inlineStr">
        <is>
          <t>Yes</t>
        </is>
      </c>
      <c r="AT438">
        <f>HYPERLINK("http://catalog.hathitrust.org/Record/001517901","HathiTrust Record")</f>
        <v/>
      </c>
      <c r="AU438">
        <f>HYPERLINK("https://creighton-primo.hosted.exlibrisgroup.com/primo-explore/search?tab=default_tab&amp;search_scope=EVERYTHING&amp;vid=01CRU&amp;lang=en_US&amp;offset=0&amp;query=any,contains,991004508509702656","Catalog Record")</f>
        <v/>
      </c>
      <c r="AV438">
        <f>HYPERLINK("http://www.worldcat.org/oclc/2691988","WorldCat Record")</f>
        <v/>
      </c>
      <c r="AW438" t="inlineStr">
        <is>
          <t>5928421:spa</t>
        </is>
      </c>
      <c r="AX438" t="inlineStr">
        <is>
          <t>2691988</t>
        </is>
      </c>
      <c r="AY438" t="inlineStr">
        <is>
          <t>991004508509702656</t>
        </is>
      </c>
      <c r="AZ438" t="inlineStr">
        <is>
          <t>991004508509702656</t>
        </is>
      </c>
      <c r="BA438" t="inlineStr">
        <is>
          <t>2263009710002656</t>
        </is>
      </c>
      <c r="BB438" t="inlineStr">
        <is>
          <t>BOOK</t>
        </is>
      </c>
      <c r="BE438" t="inlineStr">
        <is>
          <t>32285005029391</t>
        </is>
      </c>
      <c r="BF438" t="inlineStr">
        <is>
          <t>893782320</t>
        </is>
      </c>
    </row>
    <row r="439">
      <c r="A439" t="inlineStr">
        <is>
          <t>No</t>
        </is>
      </c>
      <c r="B439" t="inlineStr">
        <is>
          <t>CURAL</t>
        </is>
      </c>
      <c r="C439" t="inlineStr">
        <is>
          <t>SHELVES</t>
        </is>
      </c>
      <c r="D439" t="inlineStr">
        <is>
          <t>PQ6060 .N3</t>
        </is>
      </c>
      <c r="E439" t="inlineStr">
        <is>
          <t>0                      PQ 6060000N  3</t>
        </is>
      </c>
      <c r="F439" t="inlineStr">
        <is>
          <t>El mar en la literatura medieval castellana.</t>
        </is>
      </c>
      <c r="H439" t="inlineStr">
        <is>
          <t>No</t>
        </is>
      </c>
      <c r="I439" t="inlineStr">
        <is>
          <t>1</t>
        </is>
      </c>
      <c r="J439" t="inlineStr">
        <is>
          <t>No</t>
        </is>
      </c>
      <c r="K439" t="inlineStr">
        <is>
          <t>No</t>
        </is>
      </c>
      <c r="L439" t="inlineStr">
        <is>
          <t>0</t>
        </is>
      </c>
      <c r="M439" t="inlineStr">
        <is>
          <t>Navarro González, Alberto.</t>
        </is>
      </c>
      <c r="N439" t="inlineStr">
        <is>
          <t>[La Laguna] Universidad de La Laguna [1962]</t>
        </is>
      </c>
      <c r="O439" t="inlineStr">
        <is>
          <t>1962</t>
        </is>
      </c>
      <c r="Q439" t="inlineStr">
        <is>
          <t>spa</t>
        </is>
      </c>
      <c r="R439" t="inlineStr">
        <is>
          <t xml:space="preserve">sp </t>
        </is>
      </c>
      <c r="T439" t="inlineStr">
        <is>
          <t xml:space="preserve">PQ </t>
        </is>
      </c>
      <c r="U439" t="n">
        <v>2</v>
      </c>
      <c r="V439" t="n">
        <v>2</v>
      </c>
      <c r="W439" t="inlineStr">
        <is>
          <t>1998-10-26</t>
        </is>
      </c>
      <c r="X439" t="inlineStr">
        <is>
          <t>1998-10-26</t>
        </is>
      </c>
      <c r="Y439" t="inlineStr">
        <is>
          <t>1997-06-25</t>
        </is>
      </c>
      <c r="Z439" t="inlineStr">
        <is>
          <t>1997-06-25</t>
        </is>
      </c>
      <c r="AA439" t="n">
        <v>131</v>
      </c>
      <c r="AB439" t="n">
        <v>102</v>
      </c>
      <c r="AC439" t="n">
        <v>104</v>
      </c>
      <c r="AD439" t="n">
        <v>2</v>
      </c>
      <c r="AE439" t="n">
        <v>2</v>
      </c>
      <c r="AF439" t="n">
        <v>9</v>
      </c>
      <c r="AG439" t="n">
        <v>9</v>
      </c>
      <c r="AH439" t="n">
        <v>2</v>
      </c>
      <c r="AI439" t="n">
        <v>2</v>
      </c>
      <c r="AJ439" t="n">
        <v>3</v>
      </c>
      <c r="AK439" t="n">
        <v>3</v>
      </c>
      <c r="AL439" t="n">
        <v>4</v>
      </c>
      <c r="AM439" t="n">
        <v>4</v>
      </c>
      <c r="AN439" t="n">
        <v>1</v>
      </c>
      <c r="AO439" t="n">
        <v>1</v>
      </c>
      <c r="AP439" t="n">
        <v>0</v>
      </c>
      <c r="AQ439" t="n">
        <v>0</v>
      </c>
      <c r="AR439" t="inlineStr">
        <is>
          <t>No</t>
        </is>
      </c>
      <c r="AS439" t="inlineStr">
        <is>
          <t>Yes</t>
        </is>
      </c>
      <c r="AT439">
        <f>HYPERLINK("http://catalog.hathitrust.org/Record/001036905","HathiTrust Record")</f>
        <v/>
      </c>
      <c r="AU439">
        <f>HYPERLINK("https://creighton-primo.hosted.exlibrisgroup.com/primo-explore/search?tab=default_tab&amp;search_scope=EVERYTHING&amp;vid=01CRU&amp;lang=en_US&amp;offset=0&amp;query=any,contains,991004491189702656","Catalog Record")</f>
        <v/>
      </c>
      <c r="AV439">
        <f>HYPERLINK("http://www.worldcat.org/oclc/3662002","WorldCat Record")</f>
        <v/>
      </c>
      <c r="AW439" t="inlineStr">
        <is>
          <t>355360158:spa</t>
        </is>
      </c>
      <c r="AX439" t="inlineStr">
        <is>
          <t>3662002</t>
        </is>
      </c>
      <c r="AY439" t="inlineStr">
        <is>
          <t>991004491189702656</t>
        </is>
      </c>
      <c r="AZ439" t="inlineStr">
        <is>
          <t>991004491189702656</t>
        </is>
      </c>
      <c r="BA439" t="inlineStr">
        <is>
          <t>2261211240002656</t>
        </is>
      </c>
      <c r="BB439" t="inlineStr">
        <is>
          <t>BOOK</t>
        </is>
      </c>
      <c r="BE439" t="inlineStr">
        <is>
          <t>32285002516093</t>
        </is>
      </c>
      <c r="BF439" t="inlineStr">
        <is>
          <t>893718972</t>
        </is>
      </c>
    </row>
    <row r="440">
      <c r="A440" t="inlineStr">
        <is>
          <t>No</t>
        </is>
      </c>
      <c r="B440" t="inlineStr">
        <is>
          <t>CURAL</t>
        </is>
      </c>
      <c r="C440" t="inlineStr">
        <is>
          <t>SHELVES</t>
        </is>
      </c>
      <c r="D440" t="inlineStr">
        <is>
          <t>PQ6060 .P7 1974</t>
        </is>
      </c>
      <c r="E440" t="inlineStr">
        <is>
          <t>0                      PQ 6060000P  7           1974</t>
        </is>
      </c>
      <c r="F440" t="inlineStr">
        <is>
          <t>Mediaeval Spanish allegory.</t>
        </is>
      </c>
      <c r="H440" t="inlineStr">
        <is>
          <t>No</t>
        </is>
      </c>
      <c r="I440" t="inlineStr">
        <is>
          <t>1</t>
        </is>
      </c>
      <c r="J440" t="inlineStr">
        <is>
          <t>No</t>
        </is>
      </c>
      <c r="K440" t="inlineStr">
        <is>
          <t>No</t>
        </is>
      </c>
      <c r="L440" t="inlineStr">
        <is>
          <t>0</t>
        </is>
      </c>
      <c r="M440" t="inlineStr">
        <is>
          <t>Post, Chandler Rathfon, 1881-1959.</t>
        </is>
      </c>
      <c r="N440" t="inlineStr">
        <is>
          <t>Westport, Conn. : Greenwood Press, [1974, c1915]</t>
        </is>
      </c>
      <c r="O440" t="inlineStr">
        <is>
          <t>1974</t>
        </is>
      </c>
      <c r="Q440" t="inlineStr">
        <is>
          <t>eng</t>
        </is>
      </c>
      <c r="R440" t="inlineStr">
        <is>
          <t>ctu</t>
        </is>
      </c>
      <c r="T440" t="inlineStr">
        <is>
          <t xml:space="preserve">PQ </t>
        </is>
      </c>
      <c r="U440" t="n">
        <v>4</v>
      </c>
      <c r="V440" t="n">
        <v>4</v>
      </c>
      <c r="W440" t="inlineStr">
        <is>
          <t>2000-11-04</t>
        </is>
      </c>
      <c r="X440" t="inlineStr">
        <is>
          <t>2000-11-04</t>
        </is>
      </c>
      <c r="Y440" t="inlineStr">
        <is>
          <t>1991-05-22</t>
        </is>
      </c>
      <c r="Z440" t="inlineStr">
        <is>
          <t>1991-05-22</t>
        </is>
      </c>
      <c r="AA440" t="n">
        <v>89</v>
      </c>
      <c r="AB440" t="n">
        <v>73</v>
      </c>
      <c r="AC440" t="n">
        <v>364</v>
      </c>
      <c r="AD440" t="n">
        <v>1</v>
      </c>
      <c r="AE440" t="n">
        <v>2</v>
      </c>
      <c r="AF440" t="n">
        <v>7</v>
      </c>
      <c r="AG440" t="n">
        <v>24</v>
      </c>
      <c r="AH440" t="n">
        <v>1</v>
      </c>
      <c r="AI440" t="n">
        <v>7</v>
      </c>
      <c r="AJ440" t="n">
        <v>5</v>
      </c>
      <c r="AK440" t="n">
        <v>8</v>
      </c>
      <c r="AL440" t="n">
        <v>2</v>
      </c>
      <c r="AM440" t="n">
        <v>15</v>
      </c>
      <c r="AN440" t="n">
        <v>0</v>
      </c>
      <c r="AO440" t="n">
        <v>1</v>
      </c>
      <c r="AP440" t="n">
        <v>0</v>
      </c>
      <c r="AQ440" t="n">
        <v>0</v>
      </c>
      <c r="AR440" t="inlineStr">
        <is>
          <t>No</t>
        </is>
      </c>
      <c r="AS440" t="inlineStr">
        <is>
          <t>Yes</t>
        </is>
      </c>
      <c r="AT440">
        <f>HYPERLINK("http://catalog.hathitrust.org/Record/007969385","HathiTrust Record")</f>
        <v/>
      </c>
      <c r="AU440">
        <f>HYPERLINK("https://creighton-primo.hosted.exlibrisgroup.com/primo-explore/search?tab=default_tab&amp;search_scope=EVERYTHING&amp;vid=01CRU&amp;lang=en_US&amp;offset=0&amp;query=any,contains,991003280579702656","Catalog Record")</f>
        <v/>
      </c>
      <c r="AV440">
        <f>HYPERLINK("http://www.worldcat.org/oclc/802987","WorldCat Record")</f>
        <v/>
      </c>
      <c r="AW440" t="inlineStr">
        <is>
          <t>923749:eng</t>
        </is>
      </c>
      <c r="AX440" t="inlineStr">
        <is>
          <t>802987</t>
        </is>
      </c>
      <c r="AY440" t="inlineStr">
        <is>
          <t>991003280579702656</t>
        </is>
      </c>
      <c r="AZ440" t="inlineStr">
        <is>
          <t>991003280579702656</t>
        </is>
      </c>
      <c r="BA440" t="inlineStr">
        <is>
          <t>2270568050002656</t>
        </is>
      </c>
      <c r="BB440" t="inlineStr">
        <is>
          <t>BOOK</t>
        </is>
      </c>
      <c r="BD440" t="inlineStr">
        <is>
          <t>9780837155357</t>
        </is>
      </c>
      <c r="BE440" t="inlineStr">
        <is>
          <t>32285000598457</t>
        </is>
      </c>
      <c r="BF440" t="inlineStr">
        <is>
          <t>893422388</t>
        </is>
      </c>
    </row>
    <row r="441">
      <c r="A441" t="inlineStr">
        <is>
          <t>No</t>
        </is>
      </c>
      <c r="B441" t="inlineStr">
        <is>
          <t>CURAL</t>
        </is>
      </c>
      <c r="C441" t="inlineStr">
        <is>
          <t>SHELVES</t>
        </is>
      </c>
      <c r="D441" t="inlineStr">
        <is>
          <t>PQ6060 .S3</t>
        </is>
      </c>
      <c r="E441" t="inlineStr">
        <is>
          <t>0                      PQ 6060000S  3</t>
        </is>
      </c>
      <c r="F441" t="inlineStr">
        <is>
          <t>Sátira e invectiva en la España medieval.</t>
        </is>
      </c>
      <c r="H441" t="inlineStr">
        <is>
          <t>No</t>
        </is>
      </c>
      <c r="I441" t="inlineStr">
        <is>
          <t>1</t>
        </is>
      </c>
      <c r="J441" t="inlineStr">
        <is>
          <t>No</t>
        </is>
      </c>
      <c r="K441" t="inlineStr">
        <is>
          <t>No</t>
        </is>
      </c>
      <c r="L441" t="inlineStr">
        <is>
          <t>0</t>
        </is>
      </c>
      <c r="M441" t="inlineStr">
        <is>
          <t>Scholberg, Kenneth R.</t>
        </is>
      </c>
      <c r="N441" t="inlineStr">
        <is>
          <t>Madrid, Gredos [1971]</t>
        </is>
      </c>
      <c r="O441" t="inlineStr">
        <is>
          <t>1971</t>
        </is>
      </c>
      <c r="Q441" t="inlineStr">
        <is>
          <t>spa</t>
        </is>
      </c>
      <c r="R441" t="inlineStr">
        <is>
          <t xml:space="preserve">sp </t>
        </is>
      </c>
      <c r="S441" t="inlineStr">
        <is>
          <t>Biblioteca románica hispánica. 2. Estudios y ensayos, 163</t>
        </is>
      </c>
      <c r="T441" t="inlineStr">
        <is>
          <t xml:space="preserve">PQ </t>
        </is>
      </c>
      <c r="U441" t="n">
        <v>2</v>
      </c>
      <c r="V441" t="n">
        <v>2</v>
      </c>
      <c r="W441" t="inlineStr">
        <is>
          <t>1998-10-26</t>
        </is>
      </c>
      <c r="X441" t="inlineStr">
        <is>
          <t>1998-10-26</t>
        </is>
      </c>
      <c r="Y441" t="inlineStr">
        <is>
          <t>1997-06-25</t>
        </is>
      </c>
      <c r="Z441" t="inlineStr">
        <is>
          <t>1997-06-25</t>
        </is>
      </c>
      <c r="AA441" t="n">
        <v>308</v>
      </c>
      <c r="AB441" t="n">
        <v>233</v>
      </c>
      <c r="AC441" t="n">
        <v>236</v>
      </c>
      <c r="AD441" t="n">
        <v>2</v>
      </c>
      <c r="AE441" t="n">
        <v>2</v>
      </c>
      <c r="AF441" t="n">
        <v>10</v>
      </c>
      <c r="AG441" t="n">
        <v>10</v>
      </c>
      <c r="AH441" t="n">
        <v>2</v>
      </c>
      <c r="AI441" t="n">
        <v>2</v>
      </c>
      <c r="AJ441" t="n">
        <v>3</v>
      </c>
      <c r="AK441" t="n">
        <v>3</v>
      </c>
      <c r="AL441" t="n">
        <v>6</v>
      </c>
      <c r="AM441" t="n">
        <v>6</v>
      </c>
      <c r="AN441" t="n">
        <v>1</v>
      </c>
      <c r="AO441" t="n">
        <v>1</v>
      </c>
      <c r="AP441" t="n">
        <v>0</v>
      </c>
      <c r="AQ441" t="n">
        <v>0</v>
      </c>
      <c r="AR441" t="inlineStr">
        <is>
          <t>No</t>
        </is>
      </c>
      <c r="AS441" t="inlineStr">
        <is>
          <t>Yes</t>
        </is>
      </c>
      <c r="AT441">
        <f>HYPERLINK("http://catalog.hathitrust.org/Record/001116295","HathiTrust Record")</f>
        <v/>
      </c>
      <c r="AU441">
        <f>HYPERLINK("https://creighton-primo.hosted.exlibrisgroup.com/primo-explore/search?tab=default_tab&amp;search_scope=EVERYTHING&amp;vid=01CRU&amp;lang=en_US&amp;offset=0&amp;query=any,contains,991002963729702656","Catalog Record")</f>
        <v/>
      </c>
      <c r="AV441">
        <f>HYPERLINK("http://www.worldcat.org/oclc/545095","WorldCat Record")</f>
        <v/>
      </c>
      <c r="AW441" t="inlineStr">
        <is>
          <t>1576578:spa</t>
        </is>
      </c>
      <c r="AX441" t="inlineStr">
        <is>
          <t>545095</t>
        </is>
      </c>
      <c r="AY441" t="inlineStr">
        <is>
          <t>991002963729702656</t>
        </is>
      </c>
      <c r="AZ441" t="inlineStr">
        <is>
          <t>991002963729702656</t>
        </is>
      </c>
      <c r="BA441" t="inlineStr">
        <is>
          <t>2264353620002656</t>
        </is>
      </c>
      <c r="BB441" t="inlineStr">
        <is>
          <t>BOOK</t>
        </is>
      </c>
      <c r="BE441" t="inlineStr">
        <is>
          <t>32285002516101</t>
        </is>
      </c>
      <c r="BF441" t="inlineStr">
        <is>
          <t>893880658</t>
        </is>
      </c>
    </row>
    <row r="442">
      <c r="A442" t="inlineStr">
        <is>
          <t>No</t>
        </is>
      </c>
      <c r="B442" t="inlineStr">
        <is>
          <t>CURAL</t>
        </is>
      </c>
      <c r="C442" t="inlineStr">
        <is>
          <t>SHELVES</t>
        </is>
      </c>
      <c r="D442" t="inlineStr">
        <is>
          <t>PQ6063 .G74</t>
        </is>
      </c>
      <c r="E442" t="inlineStr">
        <is>
          <t>0                      PQ 6063000G  74</t>
        </is>
      </c>
      <c r="F442" t="inlineStr">
        <is>
          <t>España y la tradición occidental.</t>
        </is>
      </c>
      <c r="H442" t="inlineStr">
        <is>
          <t>Yes</t>
        </is>
      </c>
      <c r="I442" t="inlineStr">
        <is>
          <t>1</t>
        </is>
      </c>
      <c r="J442" t="inlineStr">
        <is>
          <t>No</t>
        </is>
      </c>
      <c r="K442" t="inlineStr">
        <is>
          <t>No</t>
        </is>
      </c>
      <c r="L442" t="inlineStr">
        <is>
          <t>0</t>
        </is>
      </c>
      <c r="M442" t="inlineStr">
        <is>
          <t>Green, Otis H. (Otis Howard), 1898-1978.</t>
        </is>
      </c>
      <c r="N442" t="inlineStr">
        <is>
          <t>Editorial Gredos [1969]</t>
        </is>
      </c>
      <c r="O442" t="inlineStr">
        <is>
          <t>1969</t>
        </is>
      </c>
      <c r="Q442" t="inlineStr">
        <is>
          <t>spa</t>
        </is>
      </c>
      <c r="R442" t="inlineStr">
        <is>
          <t xml:space="preserve">xx </t>
        </is>
      </c>
      <c r="S442" t="inlineStr">
        <is>
          <t>Biblioteca románica hispánica ; 126</t>
        </is>
      </c>
      <c r="T442" t="inlineStr">
        <is>
          <t xml:space="preserve">PQ </t>
        </is>
      </c>
      <c r="U442" t="n">
        <v>2</v>
      </c>
      <c r="V442" t="n">
        <v>2</v>
      </c>
      <c r="W442" t="inlineStr">
        <is>
          <t>1998-10-28</t>
        </is>
      </c>
      <c r="X442" t="inlineStr">
        <is>
          <t>1998-10-28</t>
        </is>
      </c>
      <c r="Y442" t="inlineStr">
        <is>
          <t>1997-06-25</t>
        </is>
      </c>
      <c r="Z442" t="inlineStr">
        <is>
          <t>1997-06-25</t>
        </is>
      </c>
      <c r="AA442" t="n">
        <v>193</v>
      </c>
      <c r="AB442" t="n">
        <v>153</v>
      </c>
      <c r="AC442" t="n">
        <v>211</v>
      </c>
      <c r="AD442" t="n">
        <v>2</v>
      </c>
      <c r="AE442" t="n">
        <v>3</v>
      </c>
      <c r="AF442" t="n">
        <v>9</v>
      </c>
      <c r="AG442" t="n">
        <v>14</v>
      </c>
      <c r="AH442" t="n">
        <v>3</v>
      </c>
      <c r="AI442" t="n">
        <v>3</v>
      </c>
      <c r="AJ442" t="n">
        <v>2</v>
      </c>
      <c r="AK442" t="n">
        <v>4</v>
      </c>
      <c r="AL442" t="n">
        <v>5</v>
      </c>
      <c r="AM442" t="n">
        <v>8</v>
      </c>
      <c r="AN442" t="n">
        <v>1</v>
      </c>
      <c r="AO442" t="n">
        <v>2</v>
      </c>
      <c r="AP442" t="n">
        <v>0</v>
      </c>
      <c r="AQ442" t="n">
        <v>0</v>
      </c>
      <c r="AR442" t="inlineStr">
        <is>
          <t>No</t>
        </is>
      </c>
      <c r="AS442" t="inlineStr">
        <is>
          <t>Yes</t>
        </is>
      </c>
      <c r="AT442">
        <f>HYPERLINK("http://catalog.hathitrust.org/Record/000317656","HathiTrust Record")</f>
        <v/>
      </c>
      <c r="AU442">
        <f>HYPERLINK("https://creighton-primo.hosted.exlibrisgroup.com/primo-explore/search?tab=default_tab&amp;search_scope=EVERYTHING&amp;vid=01CRU&amp;lang=en_US&amp;offset=0&amp;query=any,contains,991001723039702656","Catalog Record")</f>
        <v/>
      </c>
      <c r="AV442">
        <f>HYPERLINK("http://www.worldcat.org/oclc/234904","WorldCat Record")</f>
        <v/>
      </c>
      <c r="AW442" t="inlineStr">
        <is>
          <t>8907807686:spa</t>
        </is>
      </c>
      <c r="AX442" t="inlineStr">
        <is>
          <t>234904</t>
        </is>
      </c>
      <c r="AY442" t="inlineStr">
        <is>
          <t>991001723039702656</t>
        </is>
      </c>
      <c r="AZ442" t="inlineStr">
        <is>
          <t>991001723039702656</t>
        </is>
      </c>
      <c r="BA442" t="inlineStr">
        <is>
          <t>2257313260002656</t>
        </is>
      </c>
      <c r="BB442" t="inlineStr">
        <is>
          <t>BOOK</t>
        </is>
      </c>
      <c r="BE442" t="inlineStr">
        <is>
          <t>32285002516143</t>
        </is>
      </c>
      <c r="BF442" t="inlineStr">
        <is>
          <t>893340647</t>
        </is>
      </c>
    </row>
    <row r="443">
      <c r="A443" t="inlineStr">
        <is>
          <t>No</t>
        </is>
      </c>
      <c r="B443" t="inlineStr">
        <is>
          <t>CURAL</t>
        </is>
      </c>
      <c r="C443" t="inlineStr">
        <is>
          <t>SHELVES</t>
        </is>
      </c>
      <c r="D443" t="inlineStr">
        <is>
          <t>PQ6064 .B87 1992</t>
        </is>
      </c>
      <c r="E443" t="inlineStr">
        <is>
          <t>0                      PQ 6064000B  87          1992</t>
        </is>
      </c>
      <c r="F443" t="inlineStr">
        <is>
          <t>Busquemos otros montes y otros ríos : estudios de literatura española del Siglo de Oro dedicados a Elias L. Rivers / Brian Dutton, Victoriano Roncero López, editores.</t>
        </is>
      </c>
      <c r="H443" t="inlineStr">
        <is>
          <t>No</t>
        </is>
      </c>
      <c r="I443" t="inlineStr">
        <is>
          <t>1</t>
        </is>
      </c>
      <c r="J443" t="inlineStr">
        <is>
          <t>No</t>
        </is>
      </c>
      <c r="K443" t="inlineStr">
        <is>
          <t>No</t>
        </is>
      </c>
      <c r="L443" t="inlineStr">
        <is>
          <t>0</t>
        </is>
      </c>
      <c r="N443" t="inlineStr">
        <is>
          <t>Madrid : Editorial Castalia, c1922.</t>
        </is>
      </c>
      <c r="O443" t="inlineStr">
        <is>
          <t>1992</t>
        </is>
      </c>
      <c r="Q443" t="inlineStr">
        <is>
          <t>spa</t>
        </is>
      </c>
      <c r="R443" t="inlineStr">
        <is>
          <t xml:space="preserve">sp </t>
        </is>
      </c>
      <c r="T443" t="inlineStr">
        <is>
          <t xml:space="preserve">PQ </t>
        </is>
      </c>
      <c r="U443" t="n">
        <v>1</v>
      </c>
      <c r="V443" t="n">
        <v>1</v>
      </c>
      <c r="W443" t="inlineStr">
        <is>
          <t>2005-03-02</t>
        </is>
      </c>
      <c r="X443" t="inlineStr">
        <is>
          <t>2005-03-02</t>
        </is>
      </c>
      <c r="Y443" t="inlineStr">
        <is>
          <t>2005-03-02</t>
        </is>
      </c>
      <c r="Z443" t="inlineStr">
        <is>
          <t>2005-03-02</t>
        </is>
      </c>
      <c r="AA443" t="n">
        <v>76</v>
      </c>
      <c r="AB443" t="n">
        <v>50</v>
      </c>
      <c r="AC443" t="n">
        <v>50</v>
      </c>
      <c r="AD443" t="n">
        <v>1</v>
      </c>
      <c r="AE443" t="n">
        <v>1</v>
      </c>
      <c r="AF443" t="n">
        <v>3</v>
      </c>
      <c r="AG443" t="n">
        <v>3</v>
      </c>
      <c r="AH443" t="n">
        <v>0</v>
      </c>
      <c r="AI443" t="n">
        <v>0</v>
      </c>
      <c r="AJ443" t="n">
        <v>2</v>
      </c>
      <c r="AK443" t="n">
        <v>2</v>
      </c>
      <c r="AL443" t="n">
        <v>2</v>
      </c>
      <c r="AM443" t="n">
        <v>2</v>
      </c>
      <c r="AN443" t="n">
        <v>0</v>
      </c>
      <c r="AO443" t="n">
        <v>0</v>
      </c>
      <c r="AP443" t="n">
        <v>0</v>
      </c>
      <c r="AQ443" t="n">
        <v>0</v>
      </c>
      <c r="AR443" t="inlineStr">
        <is>
          <t>No</t>
        </is>
      </c>
      <c r="AS443" t="inlineStr">
        <is>
          <t>No</t>
        </is>
      </c>
      <c r="AU443">
        <f>HYPERLINK("https://creighton-primo.hosted.exlibrisgroup.com/primo-explore/search?tab=default_tab&amp;search_scope=EVERYTHING&amp;vid=01CRU&amp;lang=en_US&amp;offset=0&amp;query=any,contains,991004490769702656","Catalog Record")</f>
        <v/>
      </c>
      <c r="AV443">
        <f>HYPERLINK("http://www.worldcat.org/oclc/28483913","WorldCat Record")</f>
        <v/>
      </c>
      <c r="AW443" t="inlineStr">
        <is>
          <t>889586750:spa</t>
        </is>
      </c>
      <c r="AX443" t="inlineStr">
        <is>
          <t>28483913</t>
        </is>
      </c>
      <c r="AY443" t="inlineStr">
        <is>
          <t>991004490769702656</t>
        </is>
      </c>
      <c r="AZ443" t="inlineStr">
        <is>
          <t>991004490769702656</t>
        </is>
      </c>
      <c r="BA443" t="inlineStr">
        <is>
          <t>2265604100002656</t>
        </is>
      </c>
      <c r="BB443" t="inlineStr">
        <is>
          <t>BOOK</t>
        </is>
      </c>
      <c r="BD443" t="inlineStr">
        <is>
          <t>9788470396588</t>
        </is>
      </c>
      <c r="BE443" t="inlineStr">
        <is>
          <t>32285005029078</t>
        </is>
      </c>
      <c r="BF443" t="inlineStr">
        <is>
          <t>893241504</t>
        </is>
      </c>
    </row>
    <row r="444">
      <c r="A444" t="inlineStr">
        <is>
          <t>No</t>
        </is>
      </c>
      <c r="B444" t="inlineStr">
        <is>
          <t>CURAL</t>
        </is>
      </c>
      <c r="C444" t="inlineStr">
        <is>
          <t>SHELVES</t>
        </is>
      </c>
      <c r="D444" t="inlineStr">
        <is>
          <t>PQ6064 .R85 1996</t>
        </is>
      </c>
      <c r="E444" t="inlineStr">
        <is>
          <t>0                      PQ 6064000R  85          1996</t>
        </is>
      </c>
      <c r="F444" t="inlineStr">
        <is>
          <t>El espacio de la escritura : en torno a una poética del espacio del texto barroco / Pedro Ruiz Pérez.</t>
        </is>
      </c>
      <c r="H444" t="inlineStr">
        <is>
          <t>No</t>
        </is>
      </c>
      <c r="I444" t="inlineStr">
        <is>
          <t>1</t>
        </is>
      </c>
      <c r="J444" t="inlineStr">
        <is>
          <t>No</t>
        </is>
      </c>
      <c r="K444" t="inlineStr">
        <is>
          <t>No</t>
        </is>
      </c>
      <c r="L444" t="inlineStr">
        <is>
          <t>0</t>
        </is>
      </c>
      <c r="M444" t="inlineStr">
        <is>
          <t>Ruiz Pérez, Pedro, 1959-</t>
        </is>
      </c>
      <c r="N444" t="inlineStr">
        <is>
          <t>Bern : Lang, 1996.</t>
        </is>
      </c>
      <c r="O444" t="inlineStr">
        <is>
          <t>1996</t>
        </is>
      </c>
      <c r="Q444" t="inlineStr">
        <is>
          <t>spa</t>
        </is>
      </c>
      <c r="R444" t="inlineStr">
        <is>
          <t xml:space="preserve">sz </t>
        </is>
      </c>
      <c r="S444" t="inlineStr">
        <is>
          <t>Perspectivas hispánicas</t>
        </is>
      </c>
      <c r="T444" t="inlineStr">
        <is>
          <t xml:space="preserve">PQ </t>
        </is>
      </c>
      <c r="U444" t="n">
        <v>2</v>
      </c>
      <c r="V444" t="n">
        <v>2</v>
      </c>
      <c r="W444" t="inlineStr">
        <is>
          <t>2001-05-16</t>
        </is>
      </c>
      <c r="X444" t="inlineStr">
        <is>
          <t>2001-05-16</t>
        </is>
      </c>
      <c r="Y444" t="inlineStr">
        <is>
          <t>2001-03-26</t>
        </is>
      </c>
      <c r="Z444" t="inlineStr">
        <is>
          <t>2001-03-26</t>
        </is>
      </c>
      <c r="AA444" t="n">
        <v>82</v>
      </c>
      <c r="AB444" t="n">
        <v>49</v>
      </c>
      <c r="AC444" t="n">
        <v>51</v>
      </c>
      <c r="AD444" t="n">
        <v>2</v>
      </c>
      <c r="AE444" t="n">
        <v>2</v>
      </c>
      <c r="AF444" t="n">
        <v>2</v>
      </c>
      <c r="AG444" t="n">
        <v>2</v>
      </c>
      <c r="AH444" t="n">
        <v>0</v>
      </c>
      <c r="AI444" t="n">
        <v>0</v>
      </c>
      <c r="AJ444" t="n">
        <v>1</v>
      </c>
      <c r="AK444" t="n">
        <v>1</v>
      </c>
      <c r="AL444" t="n">
        <v>0</v>
      </c>
      <c r="AM444" t="n">
        <v>0</v>
      </c>
      <c r="AN444" t="n">
        <v>1</v>
      </c>
      <c r="AO444" t="n">
        <v>1</v>
      </c>
      <c r="AP444" t="n">
        <v>0</v>
      </c>
      <c r="AQ444" t="n">
        <v>0</v>
      </c>
      <c r="AR444" t="inlineStr">
        <is>
          <t>No</t>
        </is>
      </c>
      <c r="AS444" t="inlineStr">
        <is>
          <t>Yes</t>
        </is>
      </c>
      <c r="AT444">
        <f>HYPERLINK("http://catalog.hathitrust.org/Record/004714647","HathiTrust Record")</f>
        <v/>
      </c>
      <c r="AU444">
        <f>HYPERLINK("https://creighton-primo.hosted.exlibrisgroup.com/primo-explore/search?tab=default_tab&amp;search_scope=EVERYTHING&amp;vid=01CRU&amp;lang=en_US&amp;offset=0&amp;query=any,contains,991003479069702656","Catalog Record")</f>
        <v/>
      </c>
      <c r="AV444">
        <f>HYPERLINK("http://www.worldcat.org/oclc/36751477","WorldCat Record")</f>
        <v/>
      </c>
      <c r="AW444" t="inlineStr">
        <is>
          <t>807934811:spa</t>
        </is>
      </c>
      <c r="AX444" t="inlineStr">
        <is>
          <t>36751477</t>
        </is>
      </c>
      <c r="AY444" t="inlineStr">
        <is>
          <t>991003479069702656</t>
        </is>
      </c>
      <c r="AZ444" t="inlineStr">
        <is>
          <t>991003479069702656</t>
        </is>
      </c>
      <c r="BA444" t="inlineStr">
        <is>
          <t>2268760180002656</t>
        </is>
      </c>
      <c r="BB444" t="inlineStr">
        <is>
          <t>BOOK</t>
        </is>
      </c>
      <c r="BD444" t="inlineStr">
        <is>
          <t>9783906756509</t>
        </is>
      </c>
      <c r="BE444" t="inlineStr">
        <is>
          <t>32285004307277</t>
        </is>
      </c>
      <c r="BF444" t="inlineStr">
        <is>
          <t>893793641</t>
        </is>
      </c>
    </row>
    <row r="445">
      <c r="A445" t="inlineStr">
        <is>
          <t>No</t>
        </is>
      </c>
      <c r="B445" t="inlineStr">
        <is>
          <t>CURAL</t>
        </is>
      </c>
      <c r="C445" t="inlineStr">
        <is>
          <t>SHELVES</t>
        </is>
      </c>
      <c r="D445" t="inlineStr">
        <is>
          <t>PQ6064 .W55</t>
        </is>
      </c>
      <c r="E445" t="inlineStr">
        <is>
          <t>0                      PQ 6064000W  55</t>
        </is>
      </c>
      <c r="F445" t="inlineStr">
        <is>
          <t>Samuel Pepys's Spanish plays / Edward M. Wilson &amp; Don W. Cruickshank.</t>
        </is>
      </c>
      <c r="H445" t="inlineStr">
        <is>
          <t>No</t>
        </is>
      </c>
      <c r="I445" t="inlineStr">
        <is>
          <t>1</t>
        </is>
      </c>
      <c r="J445" t="inlineStr">
        <is>
          <t>No</t>
        </is>
      </c>
      <c r="K445" t="inlineStr">
        <is>
          <t>No</t>
        </is>
      </c>
      <c r="L445" t="inlineStr">
        <is>
          <t>0</t>
        </is>
      </c>
      <c r="M445" t="inlineStr">
        <is>
          <t>Wilson, Edward M.</t>
        </is>
      </c>
      <c r="N445" t="inlineStr">
        <is>
          <t>London : The Bibliographical Society ; New York : Oxford University Press, 1980</t>
        </is>
      </c>
      <c r="O445" t="inlineStr">
        <is>
          <t>1980</t>
        </is>
      </c>
      <c r="Q445" t="inlineStr">
        <is>
          <t>eng</t>
        </is>
      </c>
      <c r="R445" t="inlineStr">
        <is>
          <t>enk</t>
        </is>
      </c>
      <c r="S445" t="inlineStr">
        <is>
          <t>Bibliographical Society (Great Britain) publications ; 1977-78</t>
        </is>
      </c>
      <c r="T445" t="inlineStr">
        <is>
          <t xml:space="preserve">PQ </t>
        </is>
      </c>
      <c r="U445" t="n">
        <v>1</v>
      </c>
      <c r="V445" t="n">
        <v>1</v>
      </c>
      <c r="W445" t="inlineStr">
        <is>
          <t>2002-11-01</t>
        </is>
      </c>
      <c r="X445" t="inlineStr">
        <is>
          <t>2002-11-01</t>
        </is>
      </c>
      <c r="Y445" t="inlineStr">
        <is>
          <t>1991-05-22</t>
        </is>
      </c>
      <c r="Z445" t="inlineStr">
        <is>
          <t>1991-05-22</t>
        </is>
      </c>
      <c r="AA445" t="n">
        <v>301</v>
      </c>
      <c r="AB445" t="n">
        <v>198</v>
      </c>
      <c r="AC445" t="n">
        <v>199</v>
      </c>
      <c r="AD445" t="n">
        <v>2</v>
      </c>
      <c r="AE445" t="n">
        <v>2</v>
      </c>
      <c r="AF445" t="n">
        <v>9</v>
      </c>
      <c r="AG445" t="n">
        <v>9</v>
      </c>
      <c r="AH445" t="n">
        <v>1</v>
      </c>
      <c r="AI445" t="n">
        <v>1</v>
      </c>
      <c r="AJ445" t="n">
        <v>4</v>
      </c>
      <c r="AK445" t="n">
        <v>4</v>
      </c>
      <c r="AL445" t="n">
        <v>5</v>
      </c>
      <c r="AM445" t="n">
        <v>5</v>
      </c>
      <c r="AN445" t="n">
        <v>1</v>
      </c>
      <c r="AO445" t="n">
        <v>1</v>
      </c>
      <c r="AP445" t="n">
        <v>0</v>
      </c>
      <c r="AQ445" t="n">
        <v>0</v>
      </c>
      <c r="AR445" t="inlineStr">
        <is>
          <t>No</t>
        </is>
      </c>
      <c r="AS445" t="inlineStr">
        <is>
          <t>Yes</t>
        </is>
      </c>
      <c r="AT445">
        <f>HYPERLINK("http://catalog.hathitrust.org/Record/000227320","HathiTrust Record")</f>
        <v/>
      </c>
      <c r="AU445">
        <f>HYPERLINK("https://creighton-primo.hosted.exlibrisgroup.com/primo-explore/search?tab=default_tab&amp;search_scope=EVERYTHING&amp;vid=01CRU&amp;lang=en_US&amp;offset=0&amp;query=any,contains,991005119979702656","Catalog Record")</f>
        <v/>
      </c>
      <c r="AV445">
        <f>HYPERLINK("http://www.worldcat.org/oclc/7495014","WorldCat Record")</f>
        <v/>
      </c>
      <c r="AW445" t="inlineStr">
        <is>
          <t>320709991:eng</t>
        </is>
      </c>
      <c r="AX445" t="inlineStr">
        <is>
          <t>7495014</t>
        </is>
      </c>
      <c r="AY445" t="inlineStr">
        <is>
          <t>991005119979702656</t>
        </is>
      </c>
      <c r="AZ445" t="inlineStr">
        <is>
          <t>991005119979702656</t>
        </is>
      </c>
      <c r="BA445" t="inlineStr">
        <is>
          <t>2268685910002656</t>
        </is>
      </c>
      <c r="BB445" t="inlineStr">
        <is>
          <t>BOOK</t>
        </is>
      </c>
      <c r="BE445" t="inlineStr">
        <is>
          <t>32285000598481</t>
        </is>
      </c>
      <c r="BF445" t="inlineStr">
        <is>
          <t>893254500</t>
        </is>
      </c>
    </row>
    <row r="446">
      <c r="A446" t="inlineStr">
        <is>
          <t>No</t>
        </is>
      </c>
      <c r="B446" t="inlineStr">
        <is>
          <t>CURAL</t>
        </is>
      </c>
      <c r="C446" t="inlineStr">
        <is>
          <t>SHELVES</t>
        </is>
      </c>
      <c r="D446" t="inlineStr">
        <is>
          <t>PQ6065 .W5</t>
        </is>
      </c>
      <c r="E446" t="inlineStr">
        <is>
          <t>0                      PQ 6065000W  5</t>
        </is>
      </c>
      <c r="F446" t="inlineStr">
        <is>
          <t>Spanish and English literature of the 16th and 17th centuries : studies in discretion, illusion, and mutability / Edward M. Wilson ; [edited by D. W. Cruickshank].</t>
        </is>
      </c>
      <c r="H446" t="inlineStr">
        <is>
          <t>No</t>
        </is>
      </c>
      <c r="I446" t="inlineStr">
        <is>
          <t>1</t>
        </is>
      </c>
      <c r="J446" t="inlineStr">
        <is>
          <t>No</t>
        </is>
      </c>
      <c r="K446" t="inlineStr">
        <is>
          <t>No</t>
        </is>
      </c>
      <c r="L446" t="inlineStr">
        <is>
          <t>0</t>
        </is>
      </c>
      <c r="M446" t="inlineStr">
        <is>
          <t>Wilson, Edward M. (Edward Meryon), 1906-1977.</t>
        </is>
      </c>
      <c r="N446" t="inlineStr">
        <is>
          <t>Cambridge [Eng.] ; New York : Cambridge University Press, 1980.</t>
        </is>
      </c>
      <c r="O446" t="inlineStr">
        <is>
          <t>1980</t>
        </is>
      </c>
      <c r="Q446" t="inlineStr">
        <is>
          <t>eng</t>
        </is>
      </c>
      <c r="R446" t="inlineStr">
        <is>
          <t>enk</t>
        </is>
      </c>
      <c r="T446" t="inlineStr">
        <is>
          <t xml:space="preserve">PQ </t>
        </is>
      </c>
      <c r="U446" t="n">
        <v>3</v>
      </c>
      <c r="V446" t="n">
        <v>3</v>
      </c>
      <c r="W446" t="inlineStr">
        <is>
          <t>1997-09-25</t>
        </is>
      </c>
      <c r="X446" t="inlineStr">
        <is>
          <t>1997-09-25</t>
        </is>
      </c>
      <c r="Y446" t="inlineStr">
        <is>
          <t>1991-05-22</t>
        </is>
      </c>
      <c r="Z446" t="inlineStr">
        <is>
          <t>1991-05-22</t>
        </is>
      </c>
      <c r="AA446" t="n">
        <v>558</v>
      </c>
      <c r="AB446" t="n">
        <v>444</v>
      </c>
      <c r="AC446" t="n">
        <v>445</v>
      </c>
      <c r="AD446" t="n">
        <v>4</v>
      </c>
      <c r="AE446" t="n">
        <v>4</v>
      </c>
      <c r="AF446" t="n">
        <v>21</v>
      </c>
      <c r="AG446" t="n">
        <v>21</v>
      </c>
      <c r="AH446" t="n">
        <v>6</v>
      </c>
      <c r="AI446" t="n">
        <v>6</v>
      </c>
      <c r="AJ446" t="n">
        <v>8</v>
      </c>
      <c r="AK446" t="n">
        <v>8</v>
      </c>
      <c r="AL446" t="n">
        <v>11</v>
      </c>
      <c r="AM446" t="n">
        <v>11</v>
      </c>
      <c r="AN446" t="n">
        <v>3</v>
      </c>
      <c r="AO446" t="n">
        <v>3</v>
      </c>
      <c r="AP446" t="n">
        <v>0</v>
      </c>
      <c r="AQ446" t="n">
        <v>0</v>
      </c>
      <c r="AR446" t="inlineStr">
        <is>
          <t>No</t>
        </is>
      </c>
      <c r="AS446" t="inlineStr">
        <is>
          <t>No</t>
        </is>
      </c>
      <c r="AU446">
        <f>HYPERLINK("https://creighton-primo.hosted.exlibrisgroup.com/primo-explore/search?tab=default_tab&amp;search_scope=EVERYTHING&amp;vid=01CRU&amp;lang=en_US&amp;offset=0&amp;query=any,contains,991004915009702656","Catalog Record")</f>
        <v/>
      </c>
      <c r="AV446">
        <f>HYPERLINK("http://www.worldcat.org/oclc/6015793","WorldCat Record")</f>
        <v/>
      </c>
      <c r="AW446" t="inlineStr">
        <is>
          <t>809070512:eng</t>
        </is>
      </c>
      <c r="AX446" t="inlineStr">
        <is>
          <t>6015793</t>
        </is>
      </c>
      <c r="AY446" t="inlineStr">
        <is>
          <t>991004915009702656</t>
        </is>
      </c>
      <c r="AZ446" t="inlineStr">
        <is>
          <t>991004915009702656</t>
        </is>
      </c>
      <c r="BA446" t="inlineStr">
        <is>
          <t>2269086550002656</t>
        </is>
      </c>
      <c r="BB446" t="inlineStr">
        <is>
          <t>BOOK</t>
        </is>
      </c>
      <c r="BD446" t="inlineStr">
        <is>
          <t>9780521228442</t>
        </is>
      </c>
      <c r="BE446" t="inlineStr">
        <is>
          <t>32285000598507</t>
        </is>
      </c>
      <c r="BF446" t="inlineStr">
        <is>
          <t>893789226</t>
        </is>
      </c>
    </row>
    <row r="447">
      <c r="A447" t="inlineStr">
        <is>
          <t>No</t>
        </is>
      </c>
      <c r="B447" t="inlineStr">
        <is>
          <t>CURAL</t>
        </is>
      </c>
      <c r="C447" t="inlineStr">
        <is>
          <t>SHELVES</t>
        </is>
      </c>
      <c r="D447" t="inlineStr">
        <is>
          <t>PQ6066 .A35 1971</t>
        </is>
      </c>
      <c r="E447" t="inlineStr">
        <is>
          <t>0                      PQ 6066000A  35          1971</t>
        </is>
      </c>
      <c r="F447" t="inlineStr">
        <is>
          <t>El beatus ille en la poesía lírica del Siglo de Oro / Gistavo Agrait.</t>
        </is>
      </c>
      <c r="H447" t="inlineStr">
        <is>
          <t>No</t>
        </is>
      </c>
      <c r="I447" t="inlineStr">
        <is>
          <t>1</t>
        </is>
      </c>
      <c r="J447" t="inlineStr">
        <is>
          <t>No</t>
        </is>
      </c>
      <c r="K447" t="inlineStr">
        <is>
          <t>No</t>
        </is>
      </c>
      <c r="L447" t="inlineStr">
        <is>
          <t>0</t>
        </is>
      </c>
      <c r="M447" t="inlineStr">
        <is>
          <t>Agrait, Gustavo.</t>
        </is>
      </c>
      <c r="N447" t="inlineStr">
        <is>
          <t>[Río Piedras] : Editiorial Universitaria, Universidad de Puerto Rico, 1971.</t>
        </is>
      </c>
      <c r="O447" t="inlineStr">
        <is>
          <t>1971</t>
        </is>
      </c>
      <c r="Q447" t="inlineStr">
        <is>
          <t>spa</t>
        </is>
      </c>
      <c r="R447" t="inlineStr">
        <is>
          <t xml:space="preserve">xx </t>
        </is>
      </c>
      <c r="T447" t="inlineStr">
        <is>
          <t xml:space="preserve">PQ </t>
        </is>
      </c>
      <c r="U447" t="n">
        <v>1</v>
      </c>
      <c r="V447" t="n">
        <v>1</v>
      </c>
      <c r="W447" t="inlineStr">
        <is>
          <t>2005-03-02</t>
        </is>
      </c>
      <c r="X447" t="inlineStr">
        <is>
          <t>2005-03-02</t>
        </is>
      </c>
      <c r="Y447" t="inlineStr">
        <is>
          <t>2005-03-02</t>
        </is>
      </c>
      <c r="Z447" t="inlineStr">
        <is>
          <t>2005-03-02</t>
        </is>
      </c>
      <c r="AA447" t="n">
        <v>136</v>
      </c>
      <c r="AB447" t="n">
        <v>103</v>
      </c>
      <c r="AC447" t="n">
        <v>107</v>
      </c>
      <c r="AD447" t="n">
        <v>2</v>
      </c>
      <c r="AE447" t="n">
        <v>2</v>
      </c>
      <c r="AF447" t="n">
        <v>5</v>
      </c>
      <c r="AG447" t="n">
        <v>5</v>
      </c>
      <c r="AH447" t="n">
        <v>0</v>
      </c>
      <c r="AI447" t="n">
        <v>0</v>
      </c>
      <c r="AJ447" t="n">
        <v>2</v>
      </c>
      <c r="AK447" t="n">
        <v>2</v>
      </c>
      <c r="AL447" t="n">
        <v>3</v>
      </c>
      <c r="AM447" t="n">
        <v>3</v>
      </c>
      <c r="AN447" t="n">
        <v>1</v>
      </c>
      <c r="AO447" t="n">
        <v>1</v>
      </c>
      <c r="AP447" t="n">
        <v>0</v>
      </c>
      <c r="AQ447" t="n">
        <v>0</v>
      </c>
      <c r="AR447" t="inlineStr">
        <is>
          <t>No</t>
        </is>
      </c>
      <c r="AS447" t="inlineStr">
        <is>
          <t>Yes</t>
        </is>
      </c>
      <c r="AT447">
        <f>HYPERLINK("http://catalog.hathitrust.org/Record/101094334","HathiTrust Record")</f>
        <v/>
      </c>
      <c r="AU447">
        <f>HYPERLINK("https://creighton-primo.hosted.exlibrisgroup.com/primo-explore/search?tab=default_tab&amp;search_scope=EVERYTHING&amp;vid=01CRU&amp;lang=en_US&amp;offset=0&amp;query=any,contains,991004490559702656","Catalog Record")</f>
        <v/>
      </c>
      <c r="AV447">
        <f>HYPERLINK("http://www.worldcat.org/oclc/1251211","WorldCat Record")</f>
        <v/>
      </c>
      <c r="AW447" t="inlineStr">
        <is>
          <t>365128060:spa</t>
        </is>
      </c>
      <c r="AX447" t="inlineStr">
        <is>
          <t>1251211</t>
        </is>
      </c>
      <c r="AY447" t="inlineStr">
        <is>
          <t>991004490559702656</t>
        </is>
      </c>
      <c r="AZ447" t="inlineStr">
        <is>
          <t>991004490559702656</t>
        </is>
      </c>
      <c r="BA447" t="inlineStr">
        <is>
          <t>2260584950002656</t>
        </is>
      </c>
      <c r="BB447" t="inlineStr">
        <is>
          <t>BOOK</t>
        </is>
      </c>
      <c r="BE447" t="inlineStr">
        <is>
          <t>32285005028906</t>
        </is>
      </c>
      <c r="BF447" t="inlineStr">
        <is>
          <t>893687796</t>
        </is>
      </c>
    </row>
    <row r="448">
      <c r="A448" t="inlineStr">
        <is>
          <t>No</t>
        </is>
      </c>
      <c r="B448" t="inlineStr">
        <is>
          <t>CURAL</t>
        </is>
      </c>
      <c r="C448" t="inlineStr">
        <is>
          <t>SHELVES</t>
        </is>
      </c>
      <c r="D448" t="inlineStr">
        <is>
          <t>PQ6066 .P6 1957</t>
        </is>
      </c>
      <c r="E448" t="inlineStr">
        <is>
          <t>0                      PQ 6066000P  6           1957</t>
        </is>
      </c>
      <c r="F448" t="inlineStr">
        <is>
          <t>El prólogo como género literario : su estudio en el siglo de oro español / A. Porqueras Mayo.</t>
        </is>
      </c>
      <c r="H448" t="inlineStr">
        <is>
          <t>No</t>
        </is>
      </c>
      <c r="I448" t="inlineStr">
        <is>
          <t>1</t>
        </is>
      </c>
      <c r="J448" t="inlineStr">
        <is>
          <t>No</t>
        </is>
      </c>
      <c r="K448" t="inlineStr">
        <is>
          <t>No</t>
        </is>
      </c>
      <c r="L448" t="inlineStr">
        <is>
          <t>0</t>
        </is>
      </c>
      <c r="M448" t="inlineStr">
        <is>
          <t>Porqueras Mayo, Alberto, 1930-</t>
        </is>
      </c>
      <c r="N448" t="inlineStr">
        <is>
          <t>Madrid : Consejo Superior de Investigaciones Científicas, 1957.</t>
        </is>
      </c>
      <c r="O448" t="inlineStr">
        <is>
          <t>1957</t>
        </is>
      </c>
      <c r="Q448" t="inlineStr">
        <is>
          <t>spa</t>
        </is>
      </c>
      <c r="R448" t="inlineStr">
        <is>
          <t xml:space="preserve">sp </t>
        </is>
      </c>
      <c r="S448" t="inlineStr">
        <is>
          <t>Instituto "Miguel de Cervantes" de Filología Hispánica. Anejos de Revista de literatura, 14</t>
        </is>
      </c>
      <c r="T448" t="inlineStr">
        <is>
          <t xml:space="preserve">PQ </t>
        </is>
      </c>
      <c r="U448" t="n">
        <v>2</v>
      </c>
      <c r="V448" t="n">
        <v>2</v>
      </c>
      <c r="W448" t="inlineStr">
        <is>
          <t>2002-02-19</t>
        </is>
      </c>
      <c r="X448" t="inlineStr">
        <is>
          <t>2002-02-19</t>
        </is>
      </c>
      <c r="Y448" t="inlineStr">
        <is>
          <t>2002-02-19</t>
        </is>
      </c>
      <c r="Z448" t="inlineStr">
        <is>
          <t>2002-02-19</t>
        </is>
      </c>
      <c r="AA448" t="n">
        <v>211</v>
      </c>
      <c r="AB448" t="n">
        <v>168</v>
      </c>
      <c r="AC448" t="n">
        <v>171</v>
      </c>
      <c r="AD448" t="n">
        <v>2</v>
      </c>
      <c r="AE448" t="n">
        <v>2</v>
      </c>
      <c r="AF448" t="n">
        <v>11</v>
      </c>
      <c r="AG448" t="n">
        <v>11</v>
      </c>
      <c r="AH448" t="n">
        <v>2</v>
      </c>
      <c r="AI448" t="n">
        <v>2</v>
      </c>
      <c r="AJ448" t="n">
        <v>3</v>
      </c>
      <c r="AK448" t="n">
        <v>3</v>
      </c>
      <c r="AL448" t="n">
        <v>8</v>
      </c>
      <c r="AM448" t="n">
        <v>8</v>
      </c>
      <c r="AN448" t="n">
        <v>1</v>
      </c>
      <c r="AO448" t="n">
        <v>1</v>
      </c>
      <c r="AP448" t="n">
        <v>0</v>
      </c>
      <c r="AQ448" t="n">
        <v>0</v>
      </c>
      <c r="AR448" t="inlineStr">
        <is>
          <t>No</t>
        </is>
      </c>
      <c r="AS448" t="inlineStr">
        <is>
          <t>Yes</t>
        </is>
      </c>
      <c r="AT448">
        <f>HYPERLINK("http://catalog.hathitrust.org/Record/001518412","HathiTrust Record")</f>
        <v/>
      </c>
      <c r="AU448">
        <f>HYPERLINK("https://creighton-primo.hosted.exlibrisgroup.com/primo-explore/search?tab=default_tab&amp;search_scope=EVERYTHING&amp;vid=01CRU&amp;lang=en_US&amp;offset=0&amp;query=any,contains,991003740149702656","Catalog Record")</f>
        <v/>
      </c>
      <c r="AV448">
        <f>HYPERLINK("http://www.worldcat.org/oclc/892281","WorldCat Record")</f>
        <v/>
      </c>
      <c r="AW448" t="inlineStr">
        <is>
          <t>363782886:spa</t>
        </is>
      </c>
      <c r="AX448" t="inlineStr">
        <is>
          <t>892281</t>
        </is>
      </c>
      <c r="AY448" t="inlineStr">
        <is>
          <t>991003740149702656</t>
        </is>
      </c>
      <c r="AZ448" t="inlineStr">
        <is>
          <t>991003740149702656</t>
        </is>
      </c>
      <c r="BA448" t="inlineStr">
        <is>
          <t>2263828640002656</t>
        </is>
      </c>
      <c r="BB448" t="inlineStr">
        <is>
          <t>BOOK</t>
        </is>
      </c>
      <c r="BE448" t="inlineStr">
        <is>
          <t>32285004454806</t>
        </is>
      </c>
      <c r="BF448" t="inlineStr">
        <is>
          <t>893592839</t>
        </is>
      </c>
    </row>
    <row r="449">
      <c r="A449" t="inlineStr">
        <is>
          <t>No</t>
        </is>
      </c>
      <c r="B449" t="inlineStr">
        <is>
          <t>CURAL</t>
        </is>
      </c>
      <c r="C449" t="inlineStr">
        <is>
          <t>SHELVES</t>
        </is>
      </c>
      <c r="D449" t="inlineStr">
        <is>
          <t>PQ6068 .F7 1976</t>
        </is>
      </c>
      <c r="E449" t="inlineStr">
        <is>
          <t>0                      PQ 6068000F  7           1976</t>
        </is>
      </c>
      <c r="F449" t="inlineStr">
        <is>
          <t>From Cadalso to Rubén Darío / edited by E. Allison Peers.</t>
        </is>
      </c>
      <c r="H449" t="inlineStr">
        <is>
          <t>No</t>
        </is>
      </c>
      <c r="I449" t="inlineStr">
        <is>
          <t>1</t>
        </is>
      </c>
      <c r="J449" t="inlineStr">
        <is>
          <t>No</t>
        </is>
      </c>
      <c r="K449" t="inlineStr">
        <is>
          <t>No</t>
        </is>
      </c>
      <c r="L449" t="inlineStr">
        <is>
          <t>0</t>
        </is>
      </c>
      <c r="N449" t="inlineStr">
        <is>
          <t>New York : AMS Press, 1976.</t>
        </is>
      </c>
      <c r="O449" t="inlineStr">
        <is>
          <t>1976</t>
        </is>
      </c>
      <c r="Q449" t="inlineStr">
        <is>
          <t>eng</t>
        </is>
      </c>
      <c r="R449" t="inlineStr">
        <is>
          <t>nyu</t>
        </is>
      </c>
      <c r="S449" t="inlineStr">
        <is>
          <t>Liverpool studies in Spanish literature ; 1st ser.</t>
        </is>
      </c>
      <c r="T449" t="inlineStr">
        <is>
          <t xml:space="preserve">PQ </t>
        </is>
      </c>
      <c r="U449" t="n">
        <v>0</v>
      </c>
      <c r="V449" t="n">
        <v>0</v>
      </c>
      <c r="W449" t="inlineStr">
        <is>
          <t>2002-06-04</t>
        </is>
      </c>
      <c r="X449" t="inlineStr">
        <is>
          <t>2002-06-04</t>
        </is>
      </c>
      <c r="Y449" t="inlineStr">
        <is>
          <t>1991-05-22</t>
        </is>
      </c>
      <c r="Z449" t="inlineStr">
        <is>
          <t>1991-05-22</t>
        </is>
      </c>
      <c r="AA449" t="n">
        <v>105</v>
      </c>
      <c r="AB449" t="n">
        <v>91</v>
      </c>
      <c r="AC449" t="n">
        <v>92</v>
      </c>
      <c r="AD449" t="n">
        <v>1</v>
      </c>
      <c r="AE449" t="n">
        <v>1</v>
      </c>
      <c r="AF449" t="n">
        <v>3</v>
      </c>
      <c r="AG449" t="n">
        <v>3</v>
      </c>
      <c r="AH449" t="n">
        <v>0</v>
      </c>
      <c r="AI449" t="n">
        <v>0</v>
      </c>
      <c r="AJ449" t="n">
        <v>2</v>
      </c>
      <c r="AK449" t="n">
        <v>2</v>
      </c>
      <c r="AL449" t="n">
        <v>2</v>
      </c>
      <c r="AM449" t="n">
        <v>2</v>
      </c>
      <c r="AN449" t="n">
        <v>0</v>
      </c>
      <c r="AO449" t="n">
        <v>0</v>
      </c>
      <c r="AP449" t="n">
        <v>0</v>
      </c>
      <c r="AQ449" t="n">
        <v>0</v>
      </c>
      <c r="AR449" t="inlineStr">
        <is>
          <t>No</t>
        </is>
      </c>
      <c r="AS449" t="inlineStr">
        <is>
          <t>Yes</t>
        </is>
      </c>
      <c r="AT449">
        <f>HYPERLINK("http://catalog.hathitrust.org/Record/006226942","HathiTrust Record")</f>
        <v/>
      </c>
      <c r="AU449">
        <f>HYPERLINK("https://creighton-primo.hosted.exlibrisgroup.com/primo-explore/search?tab=default_tab&amp;search_scope=EVERYTHING&amp;vid=01CRU&amp;lang=en_US&amp;offset=0&amp;query=any,contains,991004107149702656","Catalog Record")</f>
        <v/>
      </c>
      <c r="AV449">
        <f>HYPERLINK("http://www.worldcat.org/oclc/2387793","WorldCat Record")</f>
        <v/>
      </c>
      <c r="AW449" t="inlineStr">
        <is>
          <t>4946598:mul</t>
        </is>
      </c>
      <c r="AX449" t="inlineStr">
        <is>
          <t>2387793</t>
        </is>
      </c>
      <c r="AY449" t="inlineStr">
        <is>
          <t>991004107149702656</t>
        </is>
      </c>
      <c r="AZ449" t="inlineStr">
        <is>
          <t>991004107149702656</t>
        </is>
      </c>
      <c r="BA449" t="inlineStr">
        <is>
          <t>2258678930002656</t>
        </is>
      </c>
      <c r="BB449" t="inlineStr">
        <is>
          <t>BOOK</t>
        </is>
      </c>
      <c r="BE449" t="inlineStr">
        <is>
          <t>32285000598523</t>
        </is>
      </c>
      <c r="BF449" t="inlineStr">
        <is>
          <t>893904704</t>
        </is>
      </c>
    </row>
    <row r="450">
      <c r="A450" t="inlineStr">
        <is>
          <t>No</t>
        </is>
      </c>
      <c r="B450" t="inlineStr">
        <is>
          <t>CURAL</t>
        </is>
      </c>
      <c r="C450" t="inlineStr">
        <is>
          <t>SHELVES</t>
        </is>
      </c>
      <c r="D450" t="inlineStr">
        <is>
          <t>PQ6069 .C65</t>
        </is>
      </c>
      <c r="E450" t="inlineStr">
        <is>
          <t>0                      PQ 6069000C  65</t>
        </is>
      </c>
      <c r="F450" t="inlineStr">
        <is>
          <t>Eighteenth-century Spanish literature / by R. Merritt Cox.</t>
        </is>
      </c>
      <c r="H450" t="inlineStr">
        <is>
          <t>No</t>
        </is>
      </c>
      <c r="I450" t="inlineStr">
        <is>
          <t>1</t>
        </is>
      </c>
      <c r="J450" t="inlineStr">
        <is>
          <t>No</t>
        </is>
      </c>
      <c r="K450" t="inlineStr">
        <is>
          <t>No</t>
        </is>
      </c>
      <c r="L450" t="inlineStr">
        <is>
          <t>0</t>
        </is>
      </c>
      <c r="M450" t="inlineStr">
        <is>
          <t>Cox, Ralph Merritt, 1939-1987.</t>
        </is>
      </c>
      <c r="N450" t="inlineStr">
        <is>
          <t>Boston : Twayne Publishers, 1979.</t>
        </is>
      </c>
      <c r="O450" t="inlineStr">
        <is>
          <t>1979</t>
        </is>
      </c>
      <c r="Q450" t="inlineStr">
        <is>
          <t>eng</t>
        </is>
      </c>
      <c r="R450" t="inlineStr">
        <is>
          <t>mau</t>
        </is>
      </c>
      <c r="S450" t="inlineStr">
        <is>
          <t>Twayne's world authors series ; TWAS 526 : Spain</t>
        </is>
      </c>
      <c r="T450" t="inlineStr">
        <is>
          <t xml:space="preserve">PQ </t>
        </is>
      </c>
      <c r="U450" t="n">
        <v>2</v>
      </c>
      <c r="V450" t="n">
        <v>2</v>
      </c>
      <c r="W450" t="inlineStr">
        <is>
          <t>1996-12-05</t>
        </is>
      </c>
      <c r="X450" t="inlineStr">
        <is>
          <t>1996-12-05</t>
        </is>
      </c>
      <c r="Y450" t="inlineStr">
        <is>
          <t>1991-05-22</t>
        </is>
      </c>
      <c r="Z450" t="inlineStr">
        <is>
          <t>1991-05-22</t>
        </is>
      </c>
      <c r="AA450" t="n">
        <v>562</v>
      </c>
      <c r="AB450" t="n">
        <v>489</v>
      </c>
      <c r="AC450" t="n">
        <v>496</v>
      </c>
      <c r="AD450" t="n">
        <v>5</v>
      </c>
      <c r="AE450" t="n">
        <v>5</v>
      </c>
      <c r="AF450" t="n">
        <v>26</v>
      </c>
      <c r="AG450" t="n">
        <v>26</v>
      </c>
      <c r="AH450" t="n">
        <v>10</v>
      </c>
      <c r="AI450" t="n">
        <v>10</v>
      </c>
      <c r="AJ450" t="n">
        <v>7</v>
      </c>
      <c r="AK450" t="n">
        <v>7</v>
      </c>
      <c r="AL450" t="n">
        <v>13</v>
      </c>
      <c r="AM450" t="n">
        <v>13</v>
      </c>
      <c r="AN450" t="n">
        <v>4</v>
      </c>
      <c r="AO450" t="n">
        <v>4</v>
      </c>
      <c r="AP450" t="n">
        <v>0</v>
      </c>
      <c r="AQ450" t="n">
        <v>0</v>
      </c>
      <c r="AR450" t="inlineStr">
        <is>
          <t>No</t>
        </is>
      </c>
      <c r="AS450" t="inlineStr">
        <is>
          <t>Yes</t>
        </is>
      </c>
      <c r="AT450">
        <f>HYPERLINK("http://catalog.hathitrust.org/Record/000179692","HathiTrust Record")</f>
        <v/>
      </c>
      <c r="AU450">
        <f>HYPERLINK("https://creighton-primo.hosted.exlibrisgroup.com/primo-explore/search?tab=default_tab&amp;search_scope=EVERYTHING&amp;vid=01CRU&amp;lang=en_US&amp;offset=0&amp;query=any,contains,991004590379702656","Catalog Record")</f>
        <v/>
      </c>
      <c r="AV450">
        <f>HYPERLINK("http://www.worldcat.org/oclc/4114857","WorldCat Record")</f>
        <v/>
      </c>
      <c r="AW450" t="inlineStr">
        <is>
          <t>14523797:eng</t>
        </is>
      </c>
      <c r="AX450" t="inlineStr">
        <is>
          <t>4114857</t>
        </is>
      </c>
      <c r="AY450" t="inlineStr">
        <is>
          <t>991004590379702656</t>
        </is>
      </c>
      <c r="AZ450" t="inlineStr">
        <is>
          <t>991004590379702656</t>
        </is>
      </c>
      <c r="BA450" t="inlineStr">
        <is>
          <t>2270953050002656</t>
        </is>
      </c>
      <c r="BB450" t="inlineStr">
        <is>
          <t>BOOK</t>
        </is>
      </c>
      <c r="BD450" t="inlineStr">
        <is>
          <t>9780805763676</t>
        </is>
      </c>
      <c r="BE450" t="inlineStr">
        <is>
          <t>32285000598531</t>
        </is>
      </c>
      <c r="BF450" t="inlineStr">
        <is>
          <t>893782402</t>
        </is>
      </c>
    </row>
    <row r="451">
      <c r="A451" t="inlineStr">
        <is>
          <t>No</t>
        </is>
      </c>
      <c r="B451" t="inlineStr">
        <is>
          <t>CURAL</t>
        </is>
      </c>
      <c r="C451" t="inlineStr">
        <is>
          <t>SHELVES</t>
        </is>
      </c>
      <c r="D451" t="inlineStr">
        <is>
          <t>PQ6070 .P4 1976</t>
        </is>
      </c>
      <c r="E451" t="inlineStr">
        <is>
          <t>0                      PQ 6070000P  4           1976</t>
        </is>
      </c>
      <c r="F451" t="inlineStr">
        <is>
          <t>A short history of the romantic movement in Spain / by E. Allison Peers.</t>
        </is>
      </c>
      <c r="H451" t="inlineStr">
        <is>
          <t>No</t>
        </is>
      </c>
      <c r="I451" t="inlineStr">
        <is>
          <t>1</t>
        </is>
      </c>
      <c r="J451" t="inlineStr">
        <is>
          <t>No</t>
        </is>
      </c>
      <c r="K451" t="inlineStr">
        <is>
          <t>No</t>
        </is>
      </c>
      <c r="L451" t="inlineStr">
        <is>
          <t>0</t>
        </is>
      </c>
      <c r="M451" t="inlineStr">
        <is>
          <t>Peers, E. Allison (Edgar Allison), 1891-1952.</t>
        </is>
      </c>
      <c r="N451" t="inlineStr">
        <is>
          <t>New York : AMS Press, 1976.</t>
        </is>
      </c>
      <c r="O451" t="inlineStr">
        <is>
          <t>1976</t>
        </is>
      </c>
      <c r="Q451" t="inlineStr">
        <is>
          <t>eng</t>
        </is>
      </c>
      <c r="R451" t="inlineStr">
        <is>
          <t>nyu</t>
        </is>
      </c>
      <c r="S451" t="inlineStr">
        <is>
          <t>Liverpool studies in Spanish literature ; 4</t>
        </is>
      </c>
      <c r="T451" t="inlineStr">
        <is>
          <t xml:space="preserve">PQ </t>
        </is>
      </c>
      <c r="U451" t="n">
        <v>8</v>
      </c>
      <c r="V451" t="n">
        <v>8</v>
      </c>
      <c r="W451" t="inlineStr">
        <is>
          <t>2000-10-18</t>
        </is>
      </c>
      <c r="X451" t="inlineStr">
        <is>
          <t>2000-10-18</t>
        </is>
      </c>
      <c r="Y451" t="inlineStr">
        <is>
          <t>1991-05-22</t>
        </is>
      </c>
      <c r="Z451" t="inlineStr">
        <is>
          <t>1991-05-22</t>
        </is>
      </c>
      <c r="AA451" t="n">
        <v>111</v>
      </c>
      <c r="AB451" t="n">
        <v>98</v>
      </c>
      <c r="AC451" t="n">
        <v>191</v>
      </c>
      <c r="AD451" t="n">
        <v>1</v>
      </c>
      <c r="AE451" t="n">
        <v>2</v>
      </c>
      <c r="AF451" t="n">
        <v>0</v>
      </c>
      <c r="AG451" t="n">
        <v>11</v>
      </c>
      <c r="AH451" t="n">
        <v>0</v>
      </c>
      <c r="AI451" t="n">
        <v>4</v>
      </c>
      <c r="AJ451" t="n">
        <v>0</v>
      </c>
      <c r="AK451" t="n">
        <v>3</v>
      </c>
      <c r="AL451" t="n">
        <v>0</v>
      </c>
      <c r="AM451" t="n">
        <v>6</v>
      </c>
      <c r="AN451" t="n">
        <v>0</v>
      </c>
      <c r="AO451" t="n">
        <v>1</v>
      </c>
      <c r="AP451" t="n">
        <v>0</v>
      </c>
      <c r="AQ451" t="n">
        <v>0</v>
      </c>
      <c r="AR451" t="inlineStr">
        <is>
          <t>No</t>
        </is>
      </c>
      <c r="AS451" t="inlineStr">
        <is>
          <t>No</t>
        </is>
      </c>
      <c r="AU451">
        <f>HYPERLINK("https://creighton-primo.hosted.exlibrisgroup.com/primo-explore/search?tab=default_tab&amp;search_scope=EVERYTHING&amp;vid=01CRU&amp;lang=en_US&amp;offset=0&amp;query=any,contains,991004211839702656","Catalog Record")</f>
        <v/>
      </c>
      <c r="AV451">
        <f>HYPERLINK("http://www.worldcat.org/oclc/2684627","WorldCat Record")</f>
        <v/>
      </c>
      <c r="AW451" t="inlineStr">
        <is>
          <t>3768885919:eng</t>
        </is>
      </c>
      <c r="AX451" t="inlineStr">
        <is>
          <t>2684627</t>
        </is>
      </c>
      <c r="AY451" t="inlineStr">
        <is>
          <t>991004211839702656</t>
        </is>
      </c>
      <c r="AZ451" t="inlineStr">
        <is>
          <t>991004211839702656</t>
        </is>
      </c>
      <c r="BA451" t="inlineStr">
        <is>
          <t>2265499190002656</t>
        </is>
      </c>
      <c r="BB451" t="inlineStr">
        <is>
          <t>BOOK</t>
        </is>
      </c>
      <c r="BD451" t="inlineStr">
        <is>
          <t>9780404150341</t>
        </is>
      </c>
      <c r="BE451" t="inlineStr">
        <is>
          <t>32285000598564</t>
        </is>
      </c>
      <c r="BF451" t="inlineStr">
        <is>
          <t>893706106</t>
        </is>
      </c>
    </row>
    <row r="452">
      <c r="A452" t="inlineStr">
        <is>
          <t>No</t>
        </is>
      </c>
      <c r="B452" t="inlineStr">
        <is>
          <t>CURAL</t>
        </is>
      </c>
      <c r="C452" t="inlineStr">
        <is>
          <t>SHELVES</t>
        </is>
      </c>
      <c r="D452" t="inlineStr">
        <is>
          <t>PQ6070 .S4818 2000</t>
        </is>
      </c>
      <c r="E452" t="inlineStr">
        <is>
          <t>0                      PQ 6070000S  4818        2000</t>
        </is>
      </c>
      <c r="F452" t="inlineStr">
        <is>
          <t>El siglo XIX / Donald L. Shaw ; traducciʹon de Helena Calsamiglia.</t>
        </is>
      </c>
      <c r="H452" t="inlineStr">
        <is>
          <t>No</t>
        </is>
      </c>
      <c r="I452" t="inlineStr">
        <is>
          <t>1</t>
        </is>
      </c>
      <c r="J452" t="inlineStr">
        <is>
          <t>No</t>
        </is>
      </c>
      <c r="K452" t="inlineStr">
        <is>
          <t>No</t>
        </is>
      </c>
      <c r="L452" t="inlineStr">
        <is>
          <t>0</t>
        </is>
      </c>
      <c r="M452" t="inlineStr">
        <is>
          <t>Shaw, Donald Leslie, 1930-</t>
        </is>
      </c>
      <c r="N452" t="inlineStr">
        <is>
          <t>Barcelona, Spain : Editorial Ariel, 2000.</t>
        </is>
      </c>
      <c r="O452" t="inlineStr">
        <is>
          <t>2000</t>
        </is>
      </c>
      <c r="P452" t="inlineStr">
        <is>
          <t>13a ed., aumentada y puesta al día.</t>
        </is>
      </c>
      <c r="Q452" t="inlineStr">
        <is>
          <t>spa</t>
        </is>
      </c>
      <c r="R452" t="inlineStr">
        <is>
          <t xml:space="preserve">sp </t>
        </is>
      </c>
      <c r="S452" t="inlineStr">
        <is>
          <t>Historia de la literatura española ; 5</t>
        </is>
      </c>
      <c r="T452" t="inlineStr">
        <is>
          <t xml:space="preserve">PQ </t>
        </is>
      </c>
      <c r="U452" t="n">
        <v>1</v>
      </c>
      <c r="V452" t="n">
        <v>1</v>
      </c>
      <c r="W452" t="inlineStr">
        <is>
          <t>2002-05-17</t>
        </is>
      </c>
      <c r="X452" t="inlineStr">
        <is>
          <t>2002-05-17</t>
        </is>
      </c>
      <c r="Y452" t="inlineStr">
        <is>
          <t>2002-05-14</t>
        </is>
      </c>
      <c r="Z452" t="inlineStr">
        <is>
          <t>2002-05-14</t>
        </is>
      </c>
      <c r="AA452" t="n">
        <v>9</v>
      </c>
      <c r="AB452" t="n">
        <v>9</v>
      </c>
      <c r="AC452" t="n">
        <v>143</v>
      </c>
      <c r="AD452" t="n">
        <v>1</v>
      </c>
      <c r="AE452" t="n">
        <v>2</v>
      </c>
      <c r="AF452" t="n">
        <v>0</v>
      </c>
      <c r="AG452" t="n">
        <v>5</v>
      </c>
      <c r="AH452" t="n">
        <v>0</v>
      </c>
      <c r="AI452" t="n">
        <v>3</v>
      </c>
      <c r="AJ452" t="n">
        <v>0</v>
      </c>
      <c r="AK452" t="n">
        <v>2</v>
      </c>
      <c r="AL452" t="n">
        <v>0</v>
      </c>
      <c r="AM452" t="n">
        <v>1</v>
      </c>
      <c r="AN452" t="n">
        <v>0</v>
      </c>
      <c r="AO452" t="n">
        <v>1</v>
      </c>
      <c r="AP452" t="n">
        <v>0</v>
      </c>
      <c r="AQ452" t="n">
        <v>0</v>
      </c>
      <c r="AR452" t="inlineStr">
        <is>
          <t>No</t>
        </is>
      </c>
      <c r="AS452" t="inlineStr">
        <is>
          <t>No</t>
        </is>
      </c>
      <c r="AU452">
        <f>HYPERLINK("https://creighton-primo.hosted.exlibrisgroup.com/primo-explore/search?tab=default_tab&amp;search_scope=EVERYTHING&amp;vid=01CRU&amp;lang=en_US&amp;offset=0&amp;query=any,contains,991003776499702656","Catalog Record")</f>
        <v/>
      </c>
      <c r="AV452">
        <f>HYPERLINK("http://www.worldcat.org/oclc/47914324","WorldCat Record")</f>
        <v/>
      </c>
      <c r="AW452" t="inlineStr">
        <is>
          <t>4160078517:spa</t>
        </is>
      </c>
      <c r="AX452" t="inlineStr">
        <is>
          <t>47914324</t>
        </is>
      </c>
      <c r="AY452" t="inlineStr">
        <is>
          <t>991003776499702656</t>
        </is>
      </c>
      <c r="AZ452" t="inlineStr">
        <is>
          <t>991003776499702656</t>
        </is>
      </c>
      <c r="BA452" t="inlineStr">
        <is>
          <t>2267694190002656</t>
        </is>
      </c>
      <c r="BB452" t="inlineStr">
        <is>
          <t>BOOK</t>
        </is>
      </c>
      <c r="BD452" t="inlineStr">
        <is>
          <t>9788434483262</t>
        </is>
      </c>
      <c r="BE452" t="inlineStr">
        <is>
          <t>32285004488473</t>
        </is>
      </c>
      <c r="BF452" t="inlineStr">
        <is>
          <t>893686965</t>
        </is>
      </c>
    </row>
    <row r="453">
      <c r="A453" t="inlineStr">
        <is>
          <t>No</t>
        </is>
      </c>
      <c r="B453" t="inlineStr">
        <is>
          <t>CURAL</t>
        </is>
      </c>
      <c r="C453" t="inlineStr">
        <is>
          <t>SHELVES</t>
        </is>
      </c>
      <c r="D453" t="inlineStr">
        <is>
          <t>PQ6072 .B33</t>
        </is>
      </c>
      <c r="E453" t="inlineStr">
        <is>
          <t>0                      PQ 6072000B  33</t>
        </is>
      </c>
      <c r="F453" t="inlineStr">
        <is>
          <t>Literatura española; libros y autores contemporáneos: Ganivet--Unamuno--Ortega y Gasset--Azorín--Baroja--Valle-Inclán--A. Machado--Pérez de Ayala, por César Barja ...</t>
        </is>
      </c>
      <c r="H453" t="inlineStr">
        <is>
          <t>No</t>
        </is>
      </c>
      <c r="I453" t="inlineStr">
        <is>
          <t>1</t>
        </is>
      </c>
      <c r="J453" t="inlineStr">
        <is>
          <t>No</t>
        </is>
      </c>
      <c r="K453" t="inlineStr">
        <is>
          <t>No</t>
        </is>
      </c>
      <c r="L453" t="inlineStr">
        <is>
          <t>0</t>
        </is>
      </c>
      <c r="M453" t="inlineStr">
        <is>
          <t>Barja, César.</t>
        </is>
      </c>
      <c r="N453" t="inlineStr">
        <is>
          <t>New York, G.E. Stechert &amp; Co. [1935]</t>
        </is>
      </c>
      <c r="O453" t="inlineStr">
        <is>
          <t>1935</t>
        </is>
      </c>
      <c r="Q453" t="inlineStr">
        <is>
          <t>spa</t>
        </is>
      </c>
      <c r="R453" t="inlineStr">
        <is>
          <t>nyu</t>
        </is>
      </c>
      <c r="T453" t="inlineStr">
        <is>
          <t xml:space="preserve">PQ </t>
        </is>
      </c>
      <c r="U453" t="n">
        <v>2</v>
      </c>
      <c r="V453" t="n">
        <v>2</v>
      </c>
      <c r="W453" t="inlineStr">
        <is>
          <t>2002-11-03</t>
        </is>
      </c>
      <c r="X453" t="inlineStr">
        <is>
          <t>2002-11-03</t>
        </is>
      </c>
      <c r="Y453" t="inlineStr">
        <is>
          <t>1997-06-26</t>
        </is>
      </c>
      <c r="Z453" t="inlineStr">
        <is>
          <t>1997-06-26</t>
        </is>
      </c>
      <c r="AA453" t="n">
        <v>223</v>
      </c>
      <c r="AB453" t="n">
        <v>216</v>
      </c>
      <c r="AC453" t="n">
        <v>256</v>
      </c>
      <c r="AD453" t="n">
        <v>2</v>
      </c>
      <c r="AE453" t="n">
        <v>2</v>
      </c>
      <c r="AF453" t="n">
        <v>8</v>
      </c>
      <c r="AG453" t="n">
        <v>10</v>
      </c>
      <c r="AH453" t="n">
        <v>3</v>
      </c>
      <c r="AI453" t="n">
        <v>4</v>
      </c>
      <c r="AJ453" t="n">
        <v>1</v>
      </c>
      <c r="AK453" t="n">
        <v>2</v>
      </c>
      <c r="AL453" t="n">
        <v>5</v>
      </c>
      <c r="AM453" t="n">
        <v>7</v>
      </c>
      <c r="AN453" t="n">
        <v>1</v>
      </c>
      <c r="AO453" t="n">
        <v>1</v>
      </c>
      <c r="AP453" t="n">
        <v>0</v>
      </c>
      <c r="AQ453" t="n">
        <v>0</v>
      </c>
      <c r="AR453" t="inlineStr">
        <is>
          <t>No</t>
        </is>
      </c>
      <c r="AS453" t="inlineStr">
        <is>
          <t>Yes</t>
        </is>
      </c>
      <c r="AT453">
        <f>HYPERLINK("http://catalog.hathitrust.org/Record/001036864","HathiTrust Record")</f>
        <v/>
      </c>
      <c r="AU453">
        <f>HYPERLINK("https://creighton-primo.hosted.exlibrisgroup.com/primo-explore/search?tab=default_tab&amp;search_scope=EVERYTHING&amp;vid=01CRU&amp;lang=en_US&amp;offset=0&amp;query=any,contains,991002901459702656","Catalog Record")</f>
        <v/>
      </c>
      <c r="AV453">
        <f>HYPERLINK("http://www.worldcat.org/oclc/517517","WorldCat Record")</f>
        <v/>
      </c>
      <c r="AW453" t="inlineStr">
        <is>
          <t>4982271279:spa</t>
        </is>
      </c>
      <c r="AX453" t="inlineStr">
        <is>
          <t>517517</t>
        </is>
      </c>
      <c r="AY453" t="inlineStr">
        <is>
          <t>991002901459702656</t>
        </is>
      </c>
      <c r="AZ453" t="inlineStr">
        <is>
          <t>991002901459702656</t>
        </is>
      </c>
      <c r="BA453" t="inlineStr">
        <is>
          <t>2254980340002656</t>
        </is>
      </c>
      <c r="BB453" t="inlineStr">
        <is>
          <t>BOOK</t>
        </is>
      </c>
      <c r="BE453" t="inlineStr">
        <is>
          <t>32285002516341</t>
        </is>
      </c>
      <c r="BF453" t="inlineStr">
        <is>
          <t>893598044</t>
        </is>
      </c>
    </row>
    <row r="454">
      <c r="A454" t="inlineStr">
        <is>
          <t>No</t>
        </is>
      </c>
      <c r="B454" t="inlineStr">
        <is>
          <t>CURAL</t>
        </is>
      </c>
      <c r="C454" t="inlineStr">
        <is>
          <t>SHELVES</t>
        </is>
      </c>
      <c r="D454" t="inlineStr">
        <is>
          <t>PQ6072 .G8 1966</t>
        </is>
      </c>
      <c r="E454" t="inlineStr">
        <is>
          <t>0                      PQ 6072000G  8           1966</t>
        </is>
      </c>
      <c r="F454" t="inlineStr">
        <is>
          <t>La generación literaria del noventa y ocho / [por] Luis S. Granjel.</t>
        </is>
      </c>
      <c r="H454" t="inlineStr">
        <is>
          <t>No</t>
        </is>
      </c>
      <c r="I454" t="inlineStr">
        <is>
          <t>1</t>
        </is>
      </c>
      <c r="J454" t="inlineStr">
        <is>
          <t>No</t>
        </is>
      </c>
      <c r="K454" t="inlineStr">
        <is>
          <t>No</t>
        </is>
      </c>
      <c r="L454" t="inlineStr">
        <is>
          <t>0</t>
        </is>
      </c>
      <c r="M454" t="inlineStr">
        <is>
          <t>Granjel, Luis S.</t>
        </is>
      </c>
      <c r="N454" t="inlineStr">
        <is>
          <t>Salamanca : Anaya, [1966]</t>
        </is>
      </c>
      <c r="O454" t="inlineStr">
        <is>
          <t>1966</t>
        </is>
      </c>
      <c r="P454" t="inlineStr">
        <is>
          <t>[l. ed.]</t>
        </is>
      </c>
      <c r="Q454" t="inlineStr">
        <is>
          <t>spa</t>
        </is>
      </c>
      <c r="R454" t="inlineStr">
        <is>
          <t xml:space="preserve">sp </t>
        </is>
      </c>
      <c r="S454" t="inlineStr">
        <is>
          <t>Temas y estudios</t>
        </is>
      </c>
      <c r="T454" t="inlineStr">
        <is>
          <t xml:space="preserve">PQ </t>
        </is>
      </c>
      <c r="U454" t="n">
        <v>1</v>
      </c>
      <c r="V454" t="n">
        <v>1</v>
      </c>
      <c r="W454" t="inlineStr">
        <is>
          <t>2005-03-23</t>
        </is>
      </c>
      <c r="X454" t="inlineStr">
        <is>
          <t>2005-03-23</t>
        </is>
      </c>
      <c r="Y454" t="inlineStr">
        <is>
          <t>2005-03-23</t>
        </is>
      </c>
      <c r="Z454" t="inlineStr">
        <is>
          <t>2005-03-23</t>
        </is>
      </c>
      <c r="AA454" t="n">
        <v>323</v>
      </c>
      <c r="AB454" t="n">
        <v>279</v>
      </c>
      <c r="AC454" t="n">
        <v>365</v>
      </c>
      <c r="AD454" t="n">
        <v>6</v>
      </c>
      <c r="AE454" t="n">
        <v>6</v>
      </c>
      <c r="AF454" t="n">
        <v>23</v>
      </c>
      <c r="AG454" t="n">
        <v>25</v>
      </c>
      <c r="AH454" t="n">
        <v>10</v>
      </c>
      <c r="AI454" t="n">
        <v>11</v>
      </c>
      <c r="AJ454" t="n">
        <v>4</v>
      </c>
      <c r="AK454" t="n">
        <v>5</v>
      </c>
      <c r="AL454" t="n">
        <v>8</v>
      </c>
      <c r="AM454" t="n">
        <v>9</v>
      </c>
      <c r="AN454" t="n">
        <v>5</v>
      </c>
      <c r="AO454" t="n">
        <v>5</v>
      </c>
      <c r="AP454" t="n">
        <v>0</v>
      </c>
      <c r="AQ454" t="n">
        <v>0</v>
      </c>
      <c r="AR454" t="inlineStr">
        <is>
          <t>No</t>
        </is>
      </c>
      <c r="AS454" t="inlineStr">
        <is>
          <t>Yes</t>
        </is>
      </c>
      <c r="AT454">
        <f>HYPERLINK("http://catalog.hathitrust.org/Record/006670443","HathiTrust Record")</f>
        <v/>
      </c>
      <c r="AU454">
        <f>HYPERLINK("https://creighton-primo.hosted.exlibrisgroup.com/primo-explore/search?tab=default_tab&amp;search_scope=EVERYTHING&amp;vid=01CRU&amp;lang=en_US&amp;offset=0&amp;query=any,contains,991004510249702656","Catalog Record")</f>
        <v/>
      </c>
      <c r="AV454">
        <f>HYPERLINK("http://www.worldcat.org/oclc/757009","WorldCat Record")</f>
        <v/>
      </c>
      <c r="AW454" t="inlineStr">
        <is>
          <t>365139597:spa</t>
        </is>
      </c>
      <c r="AX454" t="inlineStr">
        <is>
          <t>757009</t>
        </is>
      </c>
      <c r="AY454" t="inlineStr">
        <is>
          <t>991004510249702656</t>
        </is>
      </c>
      <c r="AZ454" t="inlineStr">
        <is>
          <t>991004510249702656</t>
        </is>
      </c>
      <c r="BA454" t="inlineStr">
        <is>
          <t>2272376900002656</t>
        </is>
      </c>
      <c r="BB454" t="inlineStr">
        <is>
          <t>BOOK</t>
        </is>
      </c>
      <c r="BE454" t="inlineStr">
        <is>
          <t>32285005044606</t>
        </is>
      </c>
      <c r="BF454" t="inlineStr">
        <is>
          <t>893794944</t>
        </is>
      </c>
    </row>
    <row r="455">
      <c r="A455" t="inlineStr">
        <is>
          <t>No</t>
        </is>
      </c>
      <c r="B455" t="inlineStr">
        <is>
          <t>CURAL</t>
        </is>
      </c>
      <c r="C455" t="inlineStr">
        <is>
          <t>SHELVES</t>
        </is>
      </c>
      <c r="D455" t="inlineStr">
        <is>
          <t>PQ6072 .J5 1960</t>
        </is>
      </c>
      <c r="E455" t="inlineStr">
        <is>
          <t>0                      PQ 6072000J  5           1960</t>
        </is>
      </c>
      <c r="F455" t="inlineStr">
        <is>
          <t>Españoles de tres mundos : Viejo Mundo, Nuevo Mundo, otro mundo ;caricatura lírica, 1914-1940 / Con un apéndice de retratos inéditos. [Introd., notas y edición de Ricardo Gullón.]</t>
        </is>
      </c>
      <c r="H455" t="inlineStr">
        <is>
          <t>No</t>
        </is>
      </c>
      <c r="I455" t="inlineStr">
        <is>
          <t>1</t>
        </is>
      </c>
      <c r="J455" t="inlineStr">
        <is>
          <t>No</t>
        </is>
      </c>
      <c r="K455" t="inlineStr">
        <is>
          <t>Yes</t>
        </is>
      </c>
      <c r="L455" t="inlineStr">
        <is>
          <t>0</t>
        </is>
      </c>
      <c r="M455" t="inlineStr">
        <is>
          <t>Jiménez, Juan Ramón, 1881-1958.</t>
        </is>
      </c>
      <c r="N455" t="inlineStr">
        <is>
          <t>Madrid : A. Aguado, [1960]</t>
        </is>
      </c>
      <c r="O455" t="inlineStr">
        <is>
          <t>1960</t>
        </is>
      </c>
      <c r="P455" t="inlineStr">
        <is>
          <t>1. ed.</t>
        </is>
      </c>
      <c r="Q455" t="inlineStr">
        <is>
          <t>spa</t>
        </is>
      </c>
      <c r="R455" t="inlineStr">
        <is>
          <t xml:space="preserve">sp </t>
        </is>
      </c>
      <c r="S455" t="inlineStr">
        <is>
          <t>Clásicos y maestros</t>
        </is>
      </c>
      <c r="T455" t="inlineStr">
        <is>
          <t xml:space="preserve">PQ </t>
        </is>
      </c>
      <c r="U455" t="n">
        <v>1</v>
      </c>
      <c r="V455" t="n">
        <v>1</v>
      </c>
      <c r="W455" t="inlineStr">
        <is>
          <t>2005-03-23</t>
        </is>
      </c>
      <c r="X455" t="inlineStr">
        <is>
          <t>2005-03-23</t>
        </is>
      </c>
      <c r="Y455" t="inlineStr">
        <is>
          <t>2005-03-23</t>
        </is>
      </c>
      <c r="Z455" t="inlineStr">
        <is>
          <t>2005-03-23</t>
        </is>
      </c>
      <c r="AA455" t="n">
        <v>172</v>
      </c>
      <c r="AB455" t="n">
        <v>150</v>
      </c>
      <c r="AC455" t="n">
        <v>305</v>
      </c>
      <c r="AD455" t="n">
        <v>3</v>
      </c>
      <c r="AE455" t="n">
        <v>3</v>
      </c>
      <c r="AF455" t="n">
        <v>12</v>
      </c>
      <c r="AG455" t="n">
        <v>16</v>
      </c>
      <c r="AH455" t="n">
        <v>3</v>
      </c>
      <c r="AI455" t="n">
        <v>5</v>
      </c>
      <c r="AJ455" t="n">
        <v>4</v>
      </c>
      <c r="AK455" t="n">
        <v>5</v>
      </c>
      <c r="AL455" t="n">
        <v>7</v>
      </c>
      <c r="AM455" t="n">
        <v>10</v>
      </c>
      <c r="AN455" t="n">
        <v>2</v>
      </c>
      <c r="AO455" t="n">
        <v>2</v>
      </c>
      <c r="AP455" t="n">
        <v>0</v>
      </c>
      <c r="AQ455" t="n">
        <v>0</v>
      </c>
      <c r="AR455" t="inlineStr">
        <is>
          <t>No</t>
        </is>
      </c>
      <c r="AS455" t="inlineStr">
        <is>
          <t>Yes</t>
        </is>
      </c>
      <c r="AT455">
        <f>HYPERLINK("http://catalog.hathitrust.org/Record/007969468","HathiTrust Record")</f>
        <v/>
      </c>
      <c r="AU455">
        <f>HYPERLINK("https://creighton-primo.hosted.exlibrisgroup.com/primo-explore/search?tab=default_tab&amp;search_scope=EVERYTHING&amp;vid=01CRU&amp;lang=en_US&amp;offset=0&amp;query=any,contains,991004510059702656","Catalog Record")</f>
        <v/>
      </c>
      <c r="AV455">
        <f>HYPERLINK("http://www.worldcat.org/oclc/1113555","WorldCat Record")</f>
        <v/>
      </c>
      <c r="AW455" t="inlineStr">
        <is>
          <t>4915236755:spa</t>
        </is>
      </c>
      <c r="AX455" t="inlineStr">
        <is>
          <t>1113555</t>
        </is>
      </c>
      <c r="AY455" t="inlineStr">
        <is>
          <t>991004510059702656</t>
        </is>
      </c>
      <c r="AZ455" t="inlineStr">
        <is>
          <t>991004510059702656</t>
        </is>
      </c>
      <c r="BA455" t="inlineStr">
        <is>
          <t>2272570800002656</t>
        </is>
      </c>
      <c r="BB455" t="inlineStr">
        <is>
          <t>BOOK</t>
        </is>
      </c>
      <c r="BE455" t="inlineStr">
        <is>
          <t>32285005044648</t>
        </is>
      </c>
      <c r="BF455" t="inlineStr">
        <is>
          <t>893593758</t>
        </is>
      </c>
    </row>
    <row r="456">
      <c r="A456" t="inlineStr">
        <is>
          <t>No</t>
        </is>
      </c>
      <c r="B456" t="inlineStr">
        <is>
          <t>CURAL</t>
        </is>
      </c>
      <c r="C456" t="inlineStr">
        <is>
          <t>SHELVES</t>
        </is>
      </c>
      <c r="D456" t="inlineStr">
        <is>
          <t>PQ6072 .J5 1969</t>
        </is>
      </c>
      <c r="E456" t="inlineStr">
        <is>
          <t>0                      PQ 6072000J  5           1969</t>
        </is>
      </c>
      <c r="F456" t="inlineStr">
        <is>
          <t>Españoles de tres mundos : Viejo Mundo, Nuevo Mundo, otro mundo ; caricatura lírica, 1914-1940 / Juan Ramon Jimenez ; con tres apendices de retratos ineditos. Edición y estudio preliminar de Ricardo Gullon.</t>
        </is>
      </c>
      <c r="H456" t="inlineStr">
        <is>
          <t>No</t>
        </is>
      </c>
      <c r="I456" t="inlineStr">
        <is>
          <t>1</t>
        </is>
      </c>
      <c r="J456" t="inlineStr">
        <is>
          <t>No</t>
        </is>
      </c>
      <c r="K456" t="inlineStr">
        <is>
          <t>Yes</t>
        </is>
      </c>
      <c r="L456" t="inlineStr">
        <is>
          <t>0</t>
        </is>
      </c>
      <c r="M456" t="inlineStr">
        <is>
          <t>Jiménez, Juan Ramón, 1881-1958.</t>
        </is>
      </c>
      <c r="N456" t="inlineStr">
        <is>
          <t>[Madrid] : Aguilar, 1969.</t>
        </is>
      </c>
      <c r="O456" t="inlineStr">
        <is>
          <t>1969</t>
        </is>
      </c>
      <c r="Q456" t="inlineStr">
        <is>
          <t>spa</t>
        </is>
      </c>
      <c r="R456" t="inlineStr">
        <is>
          <t xml:space="preserve">sp </t>
        </is>
      </c>
      <c r="S456" t="inlineStr">
        <is>
          <t>Colección literaria; novelistas, dramaturgos, ensayistas, poetas</t>
        </is>
      </c>
      <c r="T456" t="inlineStr">
        <is>
          <t xml:space="preserve">PQ </t>
        </is>
      </c>
      <c r="U456" t="n">
        <v>1</v>
      </c>
      <c r="V456" t="n">
        <v>1</v>
      </c>
      <c r="W456" t="inlineStr">
        <is>
          <t>2005-03-02</t>
        </is>
      </c>
      <c r="X456" t="inlineStr">
        <is>
          <t>2005-03-02</t>
        </is>
      </c>
      <c r="Y456" t="inlineStr">
        <is>
          <t>2005-03-02</t>
        </is>
      </c>
      <c r="Z456" t="inlineStr">
        <is>
          <t>2005-03-02</t>
        </is>
      </c>
      <c r="AA456" t="n">
        <v>75</v>
      </c>
      <c r="AB456" t="n">
        <v>61</v>
      </c>
      <c r="AC456" t="n">
        <v>305</v>
      </c>
      <c r="AD456" t="n">
        <v>1</v>
      </c>
      <c r="AE456" t="n">
        <v>3</v>
      </c>
      <c r="AF456" t="n">
        <v>1</v>
      </c>
      <c r="AG456" t="n">
        <v>16</v>
      </c>
      <c r="AH456" t="n">
        <v>1</v>
      </c>
      <c r="AI456" t="n">
        <v>5</v>
      </c>
      <c r="AJ456" t="n">
        <v>0</v>
      </c>
      <c r="AK456" t="n">
        <v>5</v>
      </c>
      <c r="AL456" t="n">
        <v>0</v>
      </c>
      <c r="AM456" t="n">
        <v>10</v>
      </c>
      <c r="AN456" t="n">
        <v>0</v>
      </c>
      <c r="AO456" t="n">
        <v>2</v>
      </c>
      <c r="AP456" t="n">
        <v>0</v>
      </c>
      <c r="AQ456" t="n">
        <v>0</v>
      </c>
      <c r="AR456" t="inlineStr">
        <is>
          <t>No</t>
        </is>
      </c>
      <c r="AS456" t="inlineStr">
        <is>
          <t>Yes</t>
        </is>
      </c>
      <c r="AT456">
        <f>HYPERLINK("http://catalog.hathitrust.org/Record/001518083","HathiTrust Record")</f>
        <v/>
      </c>
      <c r="AU456">
        <f>HYPERLINK("https://creighton-primo.hosted.exlibrisgroup.com/primo-explore/search?tab=default_tab&amp;search_scope=EVERYTHING&amp;vid=01CRU&amp;lang=en_US&amp;offset=0&amp;query=any,contains,991004489889702656","Catalog Record")</f>
        <v/>
      </c>
      <c r="AV456">
        <f>HYPERLINK("http://www.worldcat.org/oclc/1178870","WorldCat Record")</f>
        <v/>
      </c>
      <c r="AW456" t="inlineStr">
        <is>
          <t>4915236755:spa</t>
        </is>
      </c>
      <c r="AX456" t="inlineStr">
        <is>
          <t>1178870</t>
        </is>
      </c>
      <c r="AY456" t="inlineStr">
        <is>
          <t>991004489889702656</t>
        </is>
      </c>
      <c r="AZ456" t="inlineStr">
        <is>
          <t>991004489889702656</t>
        </is>
      </c>
      <c r="BA456" t="inlineStr">
        <is>
          <t>2266219110002656</t>
        </is>
      </c>
      <c r="BB456" t="inlineStr">
        <is>
          <t>BOOK</t>
        </is>
      </c>
      <c r="BE456" t="inlineStr">
        <is>
          <t>32285005028757</t>
        </is>
      </c>
      <c r="BF456" t="inlineStr">
        <is>
          <t>893776073</t>
        </is>
      </c>
    </row>
    <row r="457">
      <c r="A457" t="inlineStr">
        <is>
          <t>No</t>
        </is>
      </c>
      <c r="B457" t="inlineStr">
        <is>
          <t>CURAL</t>
        </is>
      </c>
      <c r="C457" t="inlineStr">
        <is>
          <t>SHELVES</t>
        </is>
      </c>
      <c r="D457" t="inlineStr">
        <is>
          <t>PQ6072 .M67 1989</t>
        </is>
      </c>
      <c r="E457" t="inlineStr">
        <is>
          <t>0                      PQ 6072000M  67          1989</t>
        </is>
      </c>
      <c r="F457" t="inlineStr">
        <is>
          <t>Son españoles / Guillermo Morón.</t>
        </is>
      </c>
      <c r="H457" t="inlineStr">
        <is>
          <t>No</t>
        </is>
      </c>
      <c r="I457" t="inlineStr">
        <is>
          <t>1</t>
        </is>
      </c>
      <c r="J457" t="inlineStr">
        <is>
          <t>No</t>
        </is>
      </c>
      <c r="K457" t="inlineStr">
        <is>
          <t>No</t>
        </is>
      </c>
      <c r="L457" t="inlineStr">
        <is>
          <t>0</t>
        </is>
      </c>
      <c r="M457" t="inlineStr">
        <is>
          <t>Morón, Guillermo.</t>
        </is>
      </c>
      <c r="N457" t="inlineStr">
        <is>
          <t>Caracas : Academia Nacional de la Historia, 1989.</t>
        </is>
      </c>
      <c r="O457" t="inlineStr">
        <is>
          <t>1989</t>
        </is>
      </c>
      <c r="Q457" t="inlineStr">
        <is>
          <t>spa</t>
        </is>
      </c>
      <c r="R457" t="inlineStr">
        <is>
          <t xml:space="preserve">ve </t>
        </is>
      </c>
      <c r="S457" t="inlineStr">
        <is>
          <t>Libro menor ; 150</t>
        </is>
      </c>
      <c r="T457" t="inlineStr">
        <is>
          <t xml:space="preserve">PQ </t>
        </is>
      </c>
      <c r="U457" t="n">
        <v>1</v>
      </c>
      <c r="V457" t="n">
        <v>1</v>
      </c>
      <c r="W457" t="inlineStr">
        <is>
          <t>2003-05-01</t>
        </is>
      </c>
      <c r="X457" t="inlineStr">
        <is>
          <t>2003-05-01</t>
        </is>
      </c>
      <c r="Y457" t="inlineStr">
        <is>
          <t>2003-05-01</t>
        </is>
      </c>
      <c r="Z457" t="inlineStr">
        <is>
          <t>2003-05-01</t>
        </is>
      </c>
      <c r="AA457" t="n">
        <v>13</v>
      </c>
      <c r="AB457" t="n">
        <v>12</v>
      </c>
      <c r="AC457" t="n">
        <v>14</v>
      </c>
      <c r="AD457" t="n">
        <v>1</v>
      </c>
      <c r="AE457" t="n">
        <v>1</v>
      </c>
      <c r="AF457" t="n">
        <v>0</v>
      </c>
      <c r="AG457" t="n">
        <v>0</v>
      </c>
      <c r="AH457" t="n">
        <v>0</v>
      </c>
      <c r="AI457" t="n">
        <v>0</v>
      </c>
      <c r="AJ457" t="n">
        <v>0</v>
      </c>
      <c r="AK457" t="n">
        <v>0</v>
      </c>
      <c r="AL457" t="n">
        <v>0</v>
      </c>
      <c r="AM457" t="n">
        <v>0</v>
      </c>
      <c r="AN457" t="n">
        <v>0</v>
      </c>
      <c r="AO457" t="n">
        <v>0</v>
      </c>
      <c r="AP457" t="n">
        <v>0</v>
      </c>
      <c r="AQ457" t="n">
        <v>0</v>
      </c>
      <c r="AR457" t="inlineStr">
        <is>
          <t>No</t>
        </is>
      </c>
      <c r="AS457" t="inlineStr">
        <is>
          <t>Yes</t>
        </is>
      </c>
      <c r="AT457">
        <f>HYPERLINK("http://catalog.hathitrust.org/Record/010160009","HathiTrust Record")</f>
        <v/>
      </c>
      <c r="AU457">
        <f>HYPERLINK("https://creighton-primo.hosted.exlibrisgroup.com/primo-explore/search?tab=default_tab&amp;search_scope=EVERYTHING&amp;vid=01CRU&amp;lang=en_US&amp;offset=0&amp;query=any,contains,991004044369702656","Catalog Record")</f>
        <v/>
      </c>
      <c r="AV457">
        <f>HYPERLINK("http://www.worldcat.org/oclc/25025382","WorldCat Record")</f>
        <v/>
      </c>
      <c r="AW457" t="inlineStr">
        <is>
          <t>27138811:spa</t>
        </is>
      </c>
      <c r="AX457" t="inlineStr">
        <is>
          <t>25025382</t>
        </is>
      </c>
      <c r="AY457" t="inlineStr">
        <is>
          <t>991004044369702656</t>
        </is>
      </c>
      <c r="AZ457" t="inlineStr">
        <is>
          <t>991004044369702656</t>
        </is>
      </c>
      <c r="BA457" t="inlineStr">
        <is>
          <t>2264013970002656</t>
        </is>
      </c>
      <c r="BB457" t="inlineStr">
        <is>
          <t>BOOK</t>
        </is>
      </c>
      <c r="BD457" t="inlineStr">
        <is>
          <t>9789802224920</t>
        </is>
      </c>
      <c r="BE457" t="inlineStr">
        <is>
          <t>32285004682257</t>
        </is>
      </c>
      <c r="BF457" t="inlineStr">
        <is>
          <t>893618157</t>
        </is>
      </c>
    </row>
    <row r="458">
      <c r="A458" t="inlineStr">
        <is>
          <t>No</t>
        </is>
      </c>
      <c r="B458" t="inlineStr">
        <is>
          <t>CURAL</t>
        </is>
      </c>
      <c r="C458" t="inlineStr">
        <is>
          <t>SHELVES</t>
        </is>
      </c>
      <c r="D458" t="inlineStr">
        <is>
          <t>PQ6072 .R5 1966</t>
        </is>
      </c>
      <c r="E458" t="inlineStr">
        <is>
          <t>0                      PQ 6072000R  5           1966</t>
        </is>
      </c>
      <c r="F458" t="inlineStr">
        <is>
          <t>Estudios sobre literatura contemporánea española / Angel del Rio.</t>
        </is>
      </c>
      <c r="H458" t="inlineStr">
        <is>
          <t>No</t>
        </is>
      </c>
      <c r="I458" t="inlineStr">
        <is>
          <t>1</t>
        </is>
      </c>
      <c r="J458" t="inlineStr">
        <is>
          <t>No</t>
        </is>
      </c>
      <c r="K458" t="inlineStr">
        <is>
          <t>No</t>
        </is>
      </c>
      <c r="L458" t="inlineStr">
        <is>
          <t>0</t>
        </is>
      </c>
      <c r="M458" t="inlineStr">
        <is>
          <t>Río, Angel del, 1900-1962.</t>
        </is>
      </c>
      <c r="N458" t="inlineStr">
        <is>
          <t>[Madrid] : Editorial Gredos, [1966]</t>
        </is>
      </c>
      <c r="O458" t="inlineStr">
        <is>
          <t>1966</t>
        </is>
      </c>
      <c r="Q458" t="inlineStr">
        <is>
          <t>spa</t>
        </is>
      </c>
      <c r="R458" t="inlineStr">
        <is>
          <t xml:space="preserve">sp </t>
        </is>
      </c>
      <c r="S458" t="inlineStr">
        <is>
          <t>Biblioteca románica hispánica. 7. Campo Abierto [18]</t>
        </is>
      </c>
      <c r="T458" t="inlineStr">
        <is>
          <t xml:space="preserve">PQ </t>
        </is>
      </c>
      <c r="U458" t="n">
        <v>1</v>
      </c>
      <c r="V458" t="n">
        <v>1</v>
      </c>
      <c r="W458" t="inlineStr">
        <is>
          <t>2005-03-23</t>
        </is>
      </c>
      <c r="X458" t="inlineStr">
        <is>
          <t>2005-03-23</t>
        </is>
      </c>
      <c r="Y458" t="inlineStr">
        <is>
          <t>2005-03-23</t>
        </is>
      </c>
      <c r="Z458" t="inlineStr">
        <is>
          <t>2005-03-23</t>
        </is>
      </c>
      <c r="AA458" t="n">
        <v>462</v>
      </c>
      <c r="AB458" t="n">
        <v>390</v>
      </c>
      <c r="AC458" t="n">
        <v>472</v>
      </c>
      <c r="AD458" t="n">
        <v>5</v>
      </c>
      <c r="AE458" t="n">
        <v>5</v>
      </c>
      <c r="AF458" t="n">
        <v>22</v>
      </c>
      <c r="AG458" t="n">
        <v>22</v>
      </c>
      <c r="AH458" t="n">
        <v>5</v>
      </c>
      <c r="AI458" t="n">
        <v>5</v>
      </c>
      <c r="AJ458" t="n">
        <v>7</v>
      </c>
      <c r="AK458" t="n">
        <v>7</v>
      </c>
      <c r="AL458" t="n">
        <v>12</v>
      </c>
      <c r="AM458" t="n">
        <v>12</v>
      </c>
      <c r="AN458" t="n">
        <v>4</v>
      </c>
      <c r="AO458" t="n">
        <v>4</v>
      </c>
      <c r="AP458" t="n">
        <v>0</v>
      </c>
      <c r="AQ458" t="n">
        <v>0</v>
      </c>
      <c r="AR458" t="inlineStr">
        <is>
          <t>No</t>
        </is>
      </c>
      <c r="AS458" t="inlineStr">
        <is>
          <t>Yes</t>
        </is>
      </c>
      <c r="AT458">
        <f>HYPERLINK("http://catalog.hathitrust.org/Record/001048671","HathiTrust Record")</f>
        <v/>
      </c>
      <c r="AU458">
        <f>HYPERLINK("https://creighton-primo.hosted.exlibrisgroup.com/primo-explore/search?tab=default_tab&amp;search_scope=EVERYTHING&amp;vid=01CRU&amp;lang=en_US&amp;offset=0&amp;query=any,contains,991004509899702656","Catalog Record")</f>
        <v/>
      </c>
      <c r="AV458">
        <f>HYPERLINK("http://www.worldcat.org/oclc/345089","WorldCat Record")</f>
        <v/>
      </c>
      <c r="AW458" t="inlineStr">
        <is>
          <t>1491385:spa</t>
        </is>
      </c>
      <c r="AX458" t="inlineStr">
        <is>
          <t>345089</t>
        </is>
      </c>
      <c r="AY458" t="inlineStr">
        <is>
          <t>991004509899702656</t>
        </is>
      </c>
      <c r="AZ458" t="inlineStr">
        <is>
          <t>991004509899702656</t>
        </is>
      </c>
      <c r="BA458" t="inlineStr">
        <is>
          <t>2269802440002656</t>
        </is>
      </c>
      <c r="BB458" t="inlineStr">
        <is>
          <t>BOOK</t>
        </is>
      </c>
      <c r="BE458" t="inlineStr">
        <is>
          <t>32285005044499</t>
        </is>
      </c>
      <c r="BF458" t="inlineStr">
        <is>
          <t>893343923</t>
        </is>
      </c>
    </row>
    <row r="459">
      <c r="A459" t="inlineStr">
        <is>
          <t>No</t>
        </is>
      </c>
      <c r="B459" t="inlineStr">
        <is>
          <t>CURAL</t>
        </is>
      </c>
      <c r="C459" t="inlineStr">
        <is>
          <t>SHELVES</t>
        </is>
      </c>
      <c r="D459" t="inlineStr">
        <is>
          <t>PQ6072 .S3</t>
        </is>
      </c>
      <c r="E459" t="inlineStr">
        <is>
          <t>0                      PQ 6072000S  3</t>
        </is>
      </c>
      <c r="F459" t="inlineStr">
        <is>
          <t>Literatura española, siglo XX, por Pedro Salinas.</t>
        </is>
      </c>
      <c r="H459" t="inlineStr">
        <is>
          <t>No</t>
        </is>
      </c>
      <c r="I459" t="inlineStr">
        <is>
          <t>1</t>
        </is>
      </c>
      <c r="J459" t="inlineStr">
        <is>
          <t>No</t>
        </is>
      </c>
      <c r="K459" t="inlineStr">
        <is>
          <t>Yes</t>
        </is>
      </c>
      <c r="L459" t="inlineStr">
        <is>
          <t>0</t>
        </is>
      </c>
      <c r="M459" t="inlineStr">
        <is>
          <t>Salinas, Pedro, 1892-1951.</t>
        </is>
      </c>
      <c r="N459" t="inlineStr">
        <is>
          <t>México, D.F., Editorial Séneca [1941]</t>
        </is>
      </c>
      <c r="O459" t="inlineStr">
        <is>
          <t>1941</t>
        </is>
      </c>
      <c r="Q459" t="inlineStr">
        <is>
          <t>spa</t>
        </is>
      </c>
      <c r="R459" t="inlineStr">
        <is>
          <t xml:space="preserve">mx </t>
        </is>
      </c>
      <c r="S459" t="inlineStr">
        <is>
          <t>Lucero</t>
        </is>
      </c>
      <c r="T459" t="inlineStr">
        <is>
          <t xml:space="preserve">PQ </t>
        </is>
      </c>
      <c r="U459" t="n">
        <v>1</v>
      </c>
      <c r="V459" t="n">
        <v>1</v>
      </c>
      <c r="W459" t="inlineStr">
        <is>
          <t>1999-01-31</t>
        </is>
      </c>
      <c r="X459" t="inlineStr">
        <is>
          <t>1999-01-31</t>
        </is>
      </c>
      <c r="Y459" t="inlineStr">
        <is>
          <t>1997-06-26</t>
        </is>
      </c>
      <c r="Z459" t="inlineStr">
        <is>
          <t>1997-06-26</t>
        </is>
      </c>
      <c r="AA459" t="n">
        <v>133</v>
      </c>
      <c r="AB459" t="n">
        <v>119</v>
      </c>
      <c r="AC459" t="n">
        <v>533</v>
      </c>
      <c r="AD459" t="n">
        <v>1</v>
      </c>
      <c r="AE459" t="n">
        <v>4</v>
      </c>
      <c r="AF459" t="n">
        <v>1</v>
      </c>
      <c r="AG459" t="n">
        <v>29</v>
      </c>
      <c r="AH459" t="n">
        <v>1</v>
      </c>
      <c r="AI459" t="n">
        <v>8</v>
      </c>
      <c r="AJ459" t="n">
        <v>0</v>
      </c>
      <c r="AK459" t="n">
        <v>8</v>
      </c>
      <c r="AL459" t="n">
        <v>0</v>
      </c>
      <c r="AM459" t="n">
        <v>16</v>
      </c>
      <c r="AN459" t="n">
        <v>0</v>
      </c>
      <c r="AO459" t="n">
        <v>3</v>
      </c>
      <c r="AP459" t="n">
        <v>0</v>
      </c>
      <c r="AQ459" t="n">
        <v>0</v>
      </c>
      <c r="AR459" t="inlineStr">
        <is>
          <t>No</t>
        </is>
      </c>
      <c r="AS459" t="inlineStr">
        <is>
          <t>Yes</t>
        </is>
      </c>
      <c r="AT459">
        <f>HYPERLINK("http://catalog.hathitrust.org/Record/006507467","HathiTrust Record")</f>
        <v/>
      </c>
      <c r="AU459">
        <f>HYPERLINK("https://creighton-primo.hosted.exlibrisgroup.com/primo-explore/search?tab=default_tab&amp;search_scope=EVERYTHING&amp;vid=01CRU&amp;lang=en_US&amp;offset=0&amp;query=any,contains,991002844169702656","Catalog Record")</f>
        <v/>
      </c>
      <c r="AV459">
        <f>HYPERLINK("http://www.worldcat.org/oclc/483852","WorldCat Record")</f>
        <v/>
      </c>
      <c r="AW459" t="inlineStr">
        <is>
          <t>1334952:spa</t>
        </is>
      </c>
      <c r="AX459" t="inlineStr">
        <is>
          <t>483852</t>
        </is>
      </c>
      <c r="AY459" t="inlineStr">
        <is>
          <t>991002844169702656</t>
        </is>
      </c>
      <c r="AZ459" t="inlineStr">
        <is>
          <t>991002844169702656</t>
        </is>
      </c>
      <c r="BA459" t="inlineStr">
        <is>
          <t>2256260950002656</t>
        </is>
      </c>
      <c r="BB459" t="inlineStr">
        <is>
          <t>BOOK</t>
        </is>
      </c>
      <c r="BE459" t="inlineStr">
        <is>
          <t>32285002516382</t>
        </is>
      </c>
      <c r="BF459" t="inlineStr">
        <is>
          <t>893886812</t>
        </is>
      </c>
    </row>
    <row r="460">
      <c r="A460" t="inlineStr">
        <is>
          <t>No</t>
        </is>
      </c>
      <c r="B460" t="inlineStr">
        <is>
          <t>CURAL</t>
        </is>
      </c>
      <c r="C460" t="inlineStr">
        <is>
          <t>SHELVES</t>
        </is>
      </c>
      <c r="D460" t="inlineStr">
        <is>
          <t>PQ6072.T6 P3</t>
        </is>
      </c>
      <c r="E460" t="inlineStr">
        <is>
          <t>0                      PQ 6072000T  6                  P  3</t>
        </is>
      </c>
      <c r="F460" t="inlineStr">
        <is>
          <t>Panorama de la literatura española contemporánea.</t>
        </is>
      </c>
      <c r="H460" t="inlineStr">
        <is>
          <t>No</t>
        </is>
      </c>
      <c r="I460" t="inlineStr">
        <is>
          <t>1</t>
        </is>
      </c>
      <c r="J460" t="inlineStr">
        <is>
          <t>No</t>
        </is>
      </c>
      <c r="K460" t="inlineStr">
        <is>
          <t>No</t>
        </is>
      </c>
      <c r="L460" t="inlineStr">
        <is>
          <t>0</t>
        </is>
      </c>
      <c r="M460" t="inlineStr">
        <is>
          <t>Torrente Ballester, Gonzalo.</t>
        </is>
      </c>
      <c r="N460" t="inlineStr">
        <is>
          <t>Madrid, Ediciones Guadarrama [1956]</t>
        </is>
      </c>
      <c r="O460" t="inlineStr">
        <is>
          <t>1956</t>
        </is>
      </c>
      <c r="Q460" t="inlineStr">
        <is>
          <t>spa</t>
        </is>
      </c>
      <c r="R460" t="inlineStr">
        <is>
          <t xml:space="preserve">sp </t>
        </is>
      </c>
      <c r="S460" t="inlineStr">
        <is>
          <t>Colección "Panoramas" ; 2</t>
        </is>
      </c>
      <c r="T460" t="inlineStr">
        <is>
          <t xml:space="preserve">PQ </t>
        </is>
      </c>
      <c r="U460" t="n">
        <v>2</v>
      </c>
      <c r="V460" t="n">
        <v>2</v>
      </c>
      <c r="W460" t="inlineStr">
        <is>
          <t>1999-01-31</t>
        </is>
      </c>
      <c r="X460" t="inlineStr">
        <is>
          <t>1999-01-31</t>
        </is>
      </c>
      <c r="Y460" t="inlineStr">
        <is>
          <t>1997-06-26</t>
        </is>
      </c>
      <c r="Z460" t="inlineStr">
        <is>
          <t>1997-06-26</t>
        </is>
      </c>
      <c r="AA460" t="n">
        <v>227</v>
      </c>
      <c r="AB460" t="n">
        <v>188</v>
      </c>
      <c r="AC460" t="n">
        <v>566</v>
      </c>
      <c r="AD460" t="n">
        <v>2</v>
      </c>
      <c r="AE460" t="n">
        <v>8</v>
      </c>
      <c r="AF460" t="n">
        <v>15</v>
      </c>
      <c r="AG460" t="n">
        <v>35</v>
      </c>
      <c r="AH460" t="n">
        <v>4</v>
      </c>
      <c r="AI460" t="n">
        <v>11</v>
      </c>
      <c r="AJ460" t="n">
        <v>3</v>
      </c>
      <c r="AK460" t="n">
        <v>8</v>
      </c>
      <c r="AL460" t="n">
        <v>11</v>
      </c>
      <c r="AM460" t="n">
        <v>19</v>
      </c>
      <c r="AN460" t="n">
        <v>1</v>
      </c>
      <c r="AO460" t="n">
        <v>7</v>
      </c>
      <c r="AP460" t="n">
        <v>0</v>
      </c>
      <c r="AQ460" t="n">
        <v>0</v>
      </c>
      <c r="AR460" t="inlineStr">
        <is>
          <t>No</t>
        </is>
      </c>
      <c r="AS460" t="inlineStr">
        <is>
          <t>Yes</t>
        </is>
      </c>
      <c r="AT460">
        <f>HYPERLINK("http://catalog.hathitrust.org/Record/001518653","HathiTrust Record")</f>
        <v/>
      </c>
      <c r="AU460">
        <f>HYPERLINK("https://creighton-primo.hosted.exlibrisgroup.com/primo-explore/search?tab=default_tab&amp;search_scope=EVERYTHING&amp;vid=01CRU&amp;lang=en_US&amp;offset=0&amp;query=any,contains,991003938629702656","Catalog Record")</f>
        <v/>
      </c>
      <c r="AV460">
        <f>HYPERLINK("http://www.worldcat.org/oclc/1922474","WorldCat Record")</f>
        <v/>
      </c>
      <c r="AW460" t="inlineStr">
        <is>
          <t>1500738:spa</t>
        </is>
      </c>
      <c r="AX460" t="inlineStr">
        <is>
          <t>1922474</t>
        </is>
      </c>
      <c r="AY460" t="inlineStr">
        <is>
          <t>991003938629702656</t>
        </is>
      </c>
      <c r="AZ460" t="inlineStr">
        <is>
          <t>991003938629702656</t>
        </is>
      </c>
      <c r="BA460" t="inlineStr">
        <is>
          <t>2262474850002656</t>
        </is>
      </c>
      <c r="BB460" t="inlineStr">
        <is>
          <t>BOOK</t>
        </is>
      </c>
      <c r="BE460" t="inlineStr">
        <is>
          <t>32285002516390</t>
        </is>
      </c>
      <c r="BF460" t="inlineStr">
        <is>
          <t>893234849</t>
        </is>
      </c>
    </row>
    <row r="461">
      <c r="A461" t="inlineStr">
        <is>
          <t>No</t>
        </is>
      </c>
      <c r="B461" t="inlineStr">
        <is>
          <t>CURAL</t>
        </is>
      </c>
      <c r="C461" t="inlineStr">
        <is>
          <t>SHELVES</t>
        </is>
      </c>
      <c r="D461" t="inlineStr">
        <is>
          <t>PQ6073 .F4</t>
        </is>
      </c>
      <c r="E461" t="inlineStr">
        <is>
          <t>0                      PQ 6073000F  4</t>
        </is>
      </c>
      <c r="F461" t="inlineStr">
        <is>
          <t>Los límites del modernismo y del 98.</t>
        </is>
      </c>
      <c r="H461" t="inlineStr">
        <is>
          <t>No</t>
        </is>
      </c>
      <c r="I461" t="inlineStr">
        <is>
          <t>1</t>
        </is>
      </c>
      <c r="J461" t="inlineStr">
        <is>
          <t>No</t>
        </is>
      </c>
      <c r="K461" t="inlineStr">
        <is>
          <t>No</t>
        </is>
      </c>
      <c r="L461" t="inlineStr">
        <is>
          <t>0</t>
        </is>
      </c>
      <c r="M461" t="inlineStr">
        <is>
          <t>Ferreres, Rafael.</t>
        </is>
      </c>
      <c r="N461" t="inlineStr">
        <is>
          <t>Madrid, Taurus, 1964.</t>
        </is>
      </c>
      <c r="O461" t="inlineStr">
        <is>
          <t>1964</t>
        </is>
      </c>
      <c r="Q461" t="inlineStr">
        <is>
          <t>spa</t>
        </is>
      </c>
      <c r="R461" t="inlineStr">
        <is>
          <t xml:space="preserve">sp </t>
        </is>
      </c>
      <c r="S461" t="inlineStr">
        <is>
          <t>Persiles</t>
        </is>
      </c>
      <c r="T461" t="inlineStr">
        <is>
          <t xml:space="preserve">PQ </t>
        </is>
      </c>
      <c r="U461" t="n">
        <v>2</v>
      </c>
      <c r="V461" t="n">
        <v>2</v>
      </c>
      <c r="W461" t="inlineStr">
        <is>
          <t>2004-04-15</t>
        </is>
      </c>
      <c r="X461" t="inlineStr">
        <is>
          <t>2004-04-15</t>
        </is>
      </c>
      <c r="Y461" t="inlineStr">
        <is>
          <t>1997-06-26</t>
        </is>
      </c>
      <c r="Z461" t="inlineStr">
        <is>
          <t>1997-06-26</t>
        </is>
      </c>
      <c r="AA461" t="n">
        <v>415</v>
      </c>
      <c r="AB461" t="n">
        <v>333</v>
      </c>
      <c r="AC461" t="n">
        <v>356</v>
      </c>
      <c r="AD461" t="n">
        <v>3</v>
      </c>
      <c r="AE461" t="n">
        <v>3</v>
      </c>
      <c r="AF461" t="n">
        <v>22</v>
      </c>
      <c r="AG461" t="n">
        <v>23</v>
      </c>
      <c r="AH461" t="n">
        <v>6</v>
      </c>
      <c r="AI461" t="n">
        <v>7</v>
      </c>
      <c r="AJ461" t="n">
        <v>7</v>
      </c>
      <c r="AK461" t="n">
        <v>7</v>
      </c>
      <c r="AL461" t="n">
        <v>13</v>
      </c>
      <c r="AM461" t="n">
        <v>13</v>
      </c>
      <c r="AN461" t="n">
        <v>2</v>
      </c>
      <c r="AO461" t="n">
        <v>2</v>
      </c>
      <c r="AP461" t="n">
        <v>0</v>
      </c>
      <c r="AQ461" t="n">
        <v>0</v>
      </c>
      <c r="AR461" t="inlineStr">
        <is>
          <t>No</t>
        </is>
      </c>
      <c r="AS461" t="inlineStr">
        <is>
          <t>Yes</t>
        </is>
      </c>
      <c r="AT461">
        <f>HYPERLINK("http://catalog.hathitrust.org/Record/001036881","HathiTrust Record")</f>
        <v/>
      </c>
      <c r="AU461">
        <f>HYPERLINK("https://creighton-primo.hosted.exlibrisgroup.com/primo-explore/search?tab=default_tab&amp;search_scope=EVERYTHING&amp;vid=01CRU&amp;lang=en_US&amp;offset=0&amp;query=any,contains,991002430999702656","Catalog Record")</f>
        <v/>
      </c>
      <c r="AV461">
        <f>HYPERLINK("http://www.worldcat.org/oclc/347014","WorldCat Record")</f>
        <v/>
      </c>
      <c r="AW461" t="inlineStr">
        <is>
          <t>5090642008:spa</t>
        </is>
      </c>
      <c r="AX461" t="inlineStr">
        <is>
          <t>347014</t>
        </is>
      </c>
      <c r="AY461" t="inlineStr">
        <is>
          <t>991002430999702656</t>
        </is>
      </c>
      <c r="AZ461" t="inlineStr">
        <is>
          <t>991002430999702656</t>
        </is>
      </c>
      <c r="BA461" t="inlineStr">
        <is>
          <t>2272458140002656</t>
        </is>
      </c>
      <c r="BB461" t="inlineStr">
        <is>
          <t>BOOK</t>
        </is>
      </c>
      <c r="BE461" t="inlineStr">
        <is>
          <t>32285002516408</t>
        </is>
      </c>
      <c r="BF461" t="inlineStr">
        <is>
          <t>893804605</t>
        </is>
      </c>
    </row>
    <row r="462">
      <c r="A462" t="inlineStr">
        <is>
          <t>No</t>
        </is>
      </c>
      <c r="B462" t="inlineStr">
        <is>
          <t>CURAL</t>
        </is>
      </c>
      <c r="C462" t="inlineStr">
        <is>
          <t>SHELVES</t>
        </is>
      </c>
      <c r="D462" t="inlineStr">
        <is>
          <t>PQ6073 .G8</t>
        </is>
      </c>
      <c r="E462" t="inlineStr">
        <is>
          <t>0                      PQ 6073000G  8</t>
        </is>
      </c>
      <c r="F462" t="inlineStr">
        <is>
          <t>Direcciones del modernismo.</t>
        </is>
      </c>
      <c r="H462" t="inlineStr">
        <is>
          <t>No</t>
        </is>
      </c>
      <c r="I462" t="inlineStr">
        <is>
          <t>1</t>
        </is>
      </c>
      <c r="J462" t="inlineStr">
        <is>
          <t>No</t>
        </is>
      </c>
      <c r="K462" t="inlineStr">
        <is>
          <t>No</t>
        </is>
      </c>
      <c r="L462" t="inlineStr">
        <is>
          <t>0</t>
        </is>
      </c>
      <c r="M462" t="inlineStr">
        <is>
          <t>Gullón, Ricardo, 1908-1991.</t>
        </is>
      </c>
      <c r="N462" t="inlineStr">
        <is>
          <t>[Madrid] Editorial Gredos [1963]</t>
        </is>
      </c>
      <c r="O462" t="inlineStr">
        <is>
          <t>1963</t>
        </is>
      </c>
      <c r="Q462" t="inlineStr">
        <is>
          <t>spa</t>
        </is>
      </c>
      <c r="R462" t="inlineStr">
        <is>
          <t xml:space="preserve">sp </t>
        </is>
      </c>
      <c r="S462" t="inlineStr">
        <is>
          <t>Biblioteca románica hispánica. 7. Campo abierto</t>
        </is>
      </c>
      <c r="T462" t="inlineStr">
        <is>
          <t xml:space="preserve">PQ </t>
        </is>
      </c>
      <c r="U462" t="n">
        <v>3</v>
      </c>
      <c r="V462" t="n">
        <v>3</v>
      </c>
      <c r="W462" t="inlineStr">
        <is>
          <t>2004-04-15</t>
        </is>
      </c>
      <c r="X462" t="inlineStr">
        <is>
          <t>2004-04-15</t>
        </is>
      </c>
      <c r="Y462" t="inlineStr">
        <is>
          <t>1997-06-26</t>
        </is>
      </c>
      <c r="Z462" t="inlineStr">
        <is>
          <t>1997-06-26</t>
        </is>
      </c>
      <c r="AA462" t="n">
        <v>422</v>
      </c>
      <c r="AB462" t="n">
        <v>339</v>
      </c>
      <c r="AC462" t="n">
        <v>463</v>
      </c>
      <c r="AD462" t="n">
        <v>4</v>
      </c>
      <c r="AE462" t="n">
        <v>5</v>
      </c>
      <c r="AF462" t="n">
        <v>23</v>
      </c>
      <c r="AG462" t="n">
        <v>30</v>
      </c>
      <c r="AH462" t="n">
        <v>7</v>
      </c>
      <c r="AI462" t="n">
        <v>11</v>
      </c>
      <c r="AJ462" t="n">
        <v>8</v>
      </c>
      <c r="AK462" t="n">
        <v>9</v>
      </c>
      <c r="AL462" t="n">
        <v>12</v>
      </c>
      <c r="AM462" t="n">
        <v>15</v>
      </c>
      <c r="AN462" t="n">
        <v>3</v>
      </c>
      <c r="AO462" t="n">
        <v>4</v>
      </c>
      <c r="AP462" t="n">
        <v>0</v>
      </c>
      <c r="AQ462" t="n">
        <v>0</v>
      </c>
      <c r="AR462" t="inlineStr">
        <is>
          <t>No</t>
        </is>
      </c>
      <c r="AS462" t="inlineStr">
        <is>
          <t>Yes</t>
        </is>
      </c>
      <c r="AT462">
        <f>HYPERLINK("http://catalog.hathitrust.org/Record/001111561","HathiTrust Record")</f>
        <v/>
      </c>
      <c r="AU462">
        <f>HYPERLINK("https://creighton-primo.hosted.exlibrisgroup.com/primo-explore/search?tab=default_tab&amp;search_scope=EVERYTHING&amp;vid=01CRU&amp;lang=en_US&amp;offset=0&amp;query=any,contains,991002426789702656","Catalog Record")</f>
        <v/>
      </c>
      <c r="AV462">
        <f>HYPERLINK("http://www.worldcat.org/oclc/345084","WorldCat Record")</f>
        <v/>
      </c>
      <c r="AW462" t="inlineStr">
        <is>
          <t>10177328791:spa</t>
        </is>
      </c>
      <c r="AX462" t="inlineStr">
        <is>
          <t>345084</t>
        </is>
      </c>
      <c r="AY462" t="inlineStr">
        <is>
          <t>991002426789702656</t>
        </is>
      </c>
      <c r="AZ462" t="inlineStr">
        <is>
          <t>991002426789702656</t>
        </is>
      </c>
      <c r="BA462" t="inlineStr">
        <is>
          <t>2269802710002656</t>
        </is>
      </c>
      <c r="BB462" t="inlineStr">
        <is>
          <t>BOOK</t>
        </is>
      </c>
      <c r="BE462" t="inlineStr">
        <is>
          <t>32285002516416</t>
        </is>
      </c>
      <c r="BF462" t="inlineStr">
        <is>
          <t>893873501</t>
        </is>
      </c>
    </row>
    <row r="463">
      <c r="A463" t="inlineStr">
        <is>
          <t>No</t>
        </is>
      </c>
      <c r="B463" t="inlineStr">
        <is>
          <t>CURAL</t>
        </is>
      </c>
      <c r="C463" t="inlineStr">
        <is>
          <t>SHELVES</t>
        </is>
      </c>
      <c r="D463" t="inlineStr">
        <is>
          <t>PQ6073.M6 C34 1974</t>
        </is>
      </c>
      <c r="E463" t="inlineStr">
        <is>
          <t>0                      PQ 6073000M  6                  C  34          1974</t>
        </is>
      </c>
      <c r="F463" t="inlineStr">
        <is>
          <t>Estudios críticos sobre el modernismo / introduccion, selección, y bibliografía general por Homero Castillo.</t>
        </is>
      </c>
      <c r="H463" t="inlineStr">
        <is>
          <t>No</t>
        </is>
      </c>
      <c r="I463" t="inlineStr">
        <is>
          <t>1</t>
        </is>
      </c>
      <c r="J463" t="inlineStr">
        <is>
          <t>No</t>
        </is>
      </c>
      <c r="K463" t="inlineStr">
        <is>
          <t>No</t>
        </is>
      </c>
      <c r="L463" t="inlineStr">
        <is>
          <t>0</t>
        </is>
      </c>
      <c r="M463" t="inlineStr">
        <is>
          <t>Castillo, Homero.</t>
        </is>
      </c>
      <c r="N463" t="inlineStr">
        <is>
          <t>Madrid : Editorial Gredos [1974, 1968]</t>
        </is>
      </c>
      <c r="O463" t="inlineStr">
        <is>
          <t>1974</t>
        </is>
      </c>
      <c r="Q463" t="inlineStr">
        <is>
          <t>spa</t>
        </is>
      </c>
      <c r="R463" t="inlineStr">
        <is>
          <t xml:space="preserve">sp </t>
        </is>
      </c>
      <c r="S463" t="inlineStr">
        <is>
          <t>Biblioteca románica hispánica. II, Estudios y ensayos ; 121</t>
        </is>
      </c>
      <c r="T463" t="inlineStr">
        <is>
          <t xml:space="preserve">PQ </t>
        </is>
      </c>
      <c r="U463" t="n">
        <v>7</v>
      </c>
      <c r="V463" t="n">
        <v>7</v>
      </c>
      <c r="W463" t="inlineStr">
        <is>
          <t>2004-04-15</t>
        </is>
      </c>
      <c r="X463" t="inlineStr">
        <is>
          <t>2004-04-15</t>
        </is>
      </c>
      <c r="Y463" t="inlineStr">
        <is>
          <t>1995-08-17</t>
        </is>
      </c>
      <c r="Z463" t="inlineStr">
        <is>
          <t>1995-08-17</t>
        </is>
      </c>
      <c r="AA463" t="n">
        <v>92</v>
      </c>
      <c r="AB463" t="n">
        <v>64</v>
      </c>
      <c r="AC463" t="n">
        <v>65</v>
      </c>
      <c r="AD463" t="n">
        <v>1</v>
      </c>
      <c r="AE463" t="n">
        <v>1</v>
      </c>
      <c r="AF463" t="n">
        <v>3</v>
      </c>
      <c r="AG463" t="n">
        <v>3</v>
      </c>
      <c r="AH463" t="n">
        <v>1</v>
      </c>
      <c r="AI463" t="n">
        <v>1</v>
      </c>
      <c r="AJ463" t="n">
        <v>1</v>
      </c>
      <c r="AK463" t="n">
        <v>1</v>
      </c>
      <c r="AL463" t="n">
        <v>2</v>
      </c>
      <c r="AM463" t="n">
        <v>2</v>
      </c>
      <c r="AN463" t="n">
        <v>0</v>
      </c>
      <c r="AO463" t="n">
        <v>0</v>
      </c>
      <c r="AP463" t="n">
        <v>0</v>
      </c>
      <c r="AQ463" t="n">
        <v>0</v>
      </c>
      <c r="AR463" t="inlineStr">
        <is>
          <t>No</t>
        </is>
      </c>
      <c r="AS463" t="inlineStr">
        <is>
          <t>No</t>
        </is>
      </c>
      <c r="AU463">
        <f>HYPERLINK("https://creighton-primo.hosted.exlibrisgroup.com/primo-explore/search?tab=default_tab&amp;search_scope=EVERYTHING&amp;vid=01CRU&amp;lang=en_US&amp;offset=0&amp;query=any,contains,991003616169702656","Catalog Record")</f>
        <v/>
      </c>
      <c r="AV463">
        <f>HYPERLINK("http://www.worldcat.org/oclc/1200534","WorldCat Record")</f>
        <v/>
      </c>
      <c r="AW463" t="inlineStr">
        <is>
          <t>9093581183:spa</t>
        </is>
      </c>
      <c r="AX463" t="inlineStr">
        <is>
          <t>1200534</t>
        </is>
      </c>
      <c r="AY463" t="inlineStr">
        <is>
          <t>991003616169702656</t>
        </is>
      </c>
      <c r="AZ463" t="inlineStr">
        <is>
          <t>991003616169702656</t>
        </is>
      </c>
      <c r="BA463" t="inlineStr">
        <is>
          <t>2266145930002656</t>
        </is>
      </c>
      <c r="BB463" t="inlineStr">
        <is>
          <t>BOOK</t>
        </is>
      </c>
      <c r="BD463" t="inlineStr">
        <is>
          <t>9788424903497</t>
        </is>
      </c>
      <c r="BE463" t="inlineStr">
        <is>
          <t>32285002080595</t>
        </is>
      </c>
      <c r="BF463" t="inlineStr">
        <is>
          <t>893252547</t>
        </is>
      </c>
    </row>
    <row r="464">
      <c r="A464" t="inlineStr">
        <is>
          <t>No</t>
        </is>
      </c>
      <c r="B464" t="inlineStr">
        <is>
          <t>CURAL</t>
        </is>
      </c>
      <c r="C464" t="inlineStr">
        <is>
          <t>SHELVES</t>
        </is>
      </c>
      <c r="D464" t="inlineStr">
        <is>
          <t>PQ6073.N6 B6 1970</t>
        </is>
      </c>
      <c r="E464" t="inlineStr">
        <is>
          <t>0                      PQ 6073000N  6                  B  6           1970</t>
        </is>
      </c>
      <c r="F464" t="inlineStr">
        <is>
          <t>Juventud del 98 / por Carlos Blanco Aguinaga.</t>
        </is>
      </c>
      <c r="H464" t="inlineStr">
        <is>
          <t>No</t>
        </is>
      </c>
      <c r="I464" t="inlineStr">
        <is>
          <t>1</t>
        </is>
      </c>
      <c r="J464" t="inlineStr">
        <is>
          <t>No</t>
        </is>
      </c>
      <c r="K464" t="inlineStr">
        <is>
          <t>No</t>
        </is>
      </c>
      <c r="L464" t="inlineStr">
        <is>
          <t>0</t>
        </is>
      </c>
      <c r="M464" t="inlineStr">
        <is>
          <t>Blanco Aguinaga, Carlos.</t>
        </is>
      </c>
      <c r="N464" t="inlineStr">
        <is>
          <t>Madrid : Siglo Veintiuno de España Editores, [1970]</t>
        </is>
      </c>
      <c r="O464" t="inlineStr">
        <is>
          <t>1970</t>
        </is>
      </c>
      <c r="P464" t="inlineStr">
        <is>
          <t>1. ed.</t>
        </is>
      </c>
      <c r="Q464" t="inlineStr">
        <is>
          <t>spa</t>
        </is>
      </c>
      <c r="R464" t="inlineStr">
        <is>
          <t xml:space="preserve">sp </t>
        </is>
      </c>
      <c r="T464" t="inlineStr">
        <is>
          <t xml:space="preserve">PQ </t>
        </is>
      </c>
      <c r="U464" t="n">
        <v>1</v>
      </c>
      <c r="V464" t="n">
        <v>1</v>
      </c>
      <c r="W464" t="inlineStr">
        <is>
          <t>2005-04-06</t>
        </is>
      </c>
      <c r="X464" t="inlineStr">
        <is>
          <t>2005-04-06</t>
        </is>
      </c>
      <c r="Y464" t="inlineStr">
        <is>
          <t>2005-04-06</t>
        </is>
      </c>
      <c r="Z464" t="inlineStr">
        <is>
          <t>2005-04-06</t>
        </is>
      </c>
      <c r="AA464" t="n">
        <v>152</v>
      </c>
      <c r="AB464" t="n">
        <v>127</v>
      </c>
      <c r="AC464" t="n">
        <v>143</v>
      </c>
      <c r="AD464" t="n">
        <v>2</v>
      </c>
      <c r="AE464" t="n">
        <v>2</v>
      </c>
      <c r="AF464" t="n">
        <v>5</v>
      </c>
      <c r="AG464" t="n">
        <v>5</v>
      </c>
      <c r="AH464" t="n">
        <v>0</v>
      </c>
      <c r="AI464" t="n">
        <v>0</v>
      </c>
      <c r="AJ464" t="n">
        <v>3</v>
      </c>
      <c r="AK464" t="n">
        <v>3</v>
      </c>
      <c r="AL464" t="n">
        <v>3</v>
      </c>
      <c r="AM464" t="n">
        <v>3</v>
      </c>
      <c r="AN464" t="n">
        <v>1</v>
      </c>
      <c r="AO464" t="n">
        <v>1</v>
      </c>
      <c r="AP464" t="n">
        <v>0</v>
      </c>
      <c r="AQ464" t="n">
        <v>0</v>
      </c>
      <c r="AR464" t="inlineStr">
        <is>
          <t>No</t>
        </is>
      </c>
      <c r="AS464" t="inlineStr">
        <is>
          <t>Yes</t>
        </is>
      </c>
      <c r="AT464">
        <f>HYPERLINK("http://catalog.hathitrust.org/Record/001036868","HathiTrust Record")</f>
        <v/>
      </c>
      <c r="AU464">
        <f>HYPERLINK("https://creighton-primo.hosted.exlibrisgroup.com/primo-explore/search?tab=default_tab&amp;search_scope=EVERYTHING&amp;vid=01CRU&amp;lang=en_US&amp;offset=0&amp;query=any,contains,991004522669702656","Catalog Record")</f>
        <v/>
      </c>
      <c r="AV464">
        <f>HYPERLINK("http://www.worldcat.org/oclc/377451","WorldCat Record")</f>
        <v/>
      </c>
      <c r="AW464" t="inlineStr">
        <is>
          <t>1473426:spa</t>
        </is>
      </c>
      <c r="AX464" t="inlineStr">
        <is>
          <t>377451</t>
        </is>
      </c>
      <c r="AY464" t="inlineStr">
        <is>
          <t>991004522669702656</t>
        </is>
      </c>
      <c r="AZ464" t="inlineStr">
        <is>
          <t>991004522669702656</t>
        </is>
      </c>
      <c r="BA464" t="inlineStr">
        <is>
          <t>2262981180002656</t>
        </is>
      </c>
      <c r="BB464" t="inlineStr">
        <is>
          <t>BOOK</t>
        </is>
      </c>
      <c r="BE464" t="inlineStr">
        <is>
          <t>32285005048235</t>
        </is>
      </c>
      <c r="BF464" t="inlineStr">
        <is>
          <t>893526201</t>
        </is>
      </c>
    </row>
    <row r="465">
      <c r="A465" t="inlineStr">
        <is>
          <t>No</t>
        </is>
      </c>
      <c r="B465" t="inlineStr">
        <is>
          <t>CURAL</t>
        </is>
      </c>
      <c r="C465" t="inlineStr">
        <is>
          <t>SHELVES</t>
        </is>
      </c>
      <c r="D465" t="inlineStr">
        <is>
          <t>PQ6073.S9 M618 2000</t>
        </is>
      </c>
      <c r="E465" t="inlineStr">
        <is>
          <t>0                      PQ 6073000S  9                  M  618         2000</t>
        </is>
      </c>
      <c r="F465" t="inlineStr">
        <is>
          <t>El surrealismo y España, 1920-1936 / C.B. Morris ; traducciaon, Fuencisla Escribano.</t>
        </is>
      </c>
      <c r="H465" t="inlineStr">
        <is>
          <t>No</t>
        </is>
      </c>
      <c r="I465" t="inlineStr">
        <is>
          <t>1</t>
        </is>
      </c>
      <c r="J465" t="inlineStr">
        <is>
          <t>No</t>
        </is>
      </c>
      <c r="K465" t="inlineStr">
        <is>
          <t>No</t>
        </is>
      </c>
      <c r="L465" t="inlineStr">
        <is>
          <t>0</t>
        </is>
      </c>
      <c r="M465" t="inlineStr">
        <is>
          <t>Morris, C. B. (Cyril Brian)</t>
        </is>
      </c>
      <c r="N465" t="inlineStr">
        <is>
          <t>Madrid : Espasa Calpe, c2000.</t>
        </is>
      </c>
      <c r="O465" t="inlineStr">
        <is>
          <t>2000</t>
        </is>
      </c>
      <c r="Q465" t="inlineStr">
        <is>
          <t>spa</t>
        </is>
      </c>
      <c r="R465" t="inlineStr">
        <is>
          <t xml:space="preserve">sp </t>
        </is>
      </c>
      <c r="S465" t="inlineStr">
        <is>
          <t>Colección Austral ; 503. Ciencias/Humanidades</t>
        </is>
      </c>
      <c r="T465" t="inlineStr">
        <is>
          <t xml:space="preserve">PQ </t>
        </is>
      </c>
      <c r="U465" t="n">
        <v>1</v>
      </c>
      <c r="V465" t="n">
        <v>1</v>
      </c>
      <c r="W465" t="inlineStr">
        <is>
          <t>2004-08-10</t>
        </is>
      </c>
      <c r="X465" t="inlineStr">
        <is>
          <t>2004-08-10</t>
        </is>
      </c>
      <c r="Y465" t="inlineStr">
        <is>
          <t>2004-08-10</t>
        </is>
      </c>
      <c r="Z465" t="inlineStr">
        <is>
          <t>2004-08-10</t>
        </is>
      </c>
      <c r="AA465" t="n">
        <v>15</v>
      </c>
      <c r="AB465" t="n">
        <v>12</v>
      </c>
      <c r="AC465" t="n">
        <v>12</v>
      </c>
      <c r="AD465" t="n">
        <v>1</v>
      </c>
      <c r="AE465" t="n">
        <v>1</v>
      </c>
      <c r="AF465" t="n">
        <v>0</v>
      </c>
      <c r="AG465" t="n">
        <v>0</v>
      </c>
      <c r="AH465" t="n">
        <v>0</v>
      </c>
      <c r="AI465" t="n">
        <v>0</v>
      </c>
      <c r="AJ465" t="n">
        <v>0</v>
      </c>
      <c r="AK465" t="n">
        <v>0</v>
      </c>
      <c r="AL465" t="n">
        <v>0</v>
      </c>
      <c r="AM465" t="n">
        <v>0</v>
      </c>
      <c r="AN465" t="n">
        <v>0</v>
      </c>
      <c r="AO465" t="n">
        <v>0</v>
      </c>
      <c r="AP465" t="n">
        <v>0</v>
      </c>
      <c r="AQ465" t="n">
        <v>0</v>
      </c>
      <c r="AR465" t="inlineStr">
        <is>
          <t>No</t>
        </is>
      </c>
      <c r="AS465" t="inlineStr">
        <is>
          <t>No</t>
        </is>
      </c>
      <c r="AU465">
        <f>HYPERLINK("https://creighton-primo.hosted.exlibrisgroup.com/primo-explore/search?tab=default_tab&amp;search_scope=EVERYTHING&amp;vid=01CRU&amp;lang=en_US&amp;offset=0&amp;query=any,contains,991004270839702656","Catalog Record")</f>
        <v/>
      </c>
      <c r="AV465">
        <f>HYPERLINK("http://www.worldcat.org/oclc/45385403","WorldCat Record")</f>
        <v/>
      </c>
      <c r="AW465" t="inlineStr">
        <is>
          <t>503069:spa</t>
        </is>
      </c>
      <c r="AX465" t="inlineStr">
        <is>
          <t>45385403</t>
        </is>
      </c>
      <c r="AY465" t="inlineStr">
        <is>
          <t>991004270839702656</t>
        </is>
      </c>
      <c r="AZ465" t="inlineStr">
        <is>
          <t>991004270839702656</t>
        </is>
      </c>
      <c r="BA465" t="inlineStr">
        <is>
          <t>2259796400002656</t>
        </is>
      </c>
      <c r="BB465" t="inlineStr">
        <is>
          <t>BOOK</t>
        </is>
      </c>
      <c r="BD465" t="inlineStr">
        <is>
          <t>9788423975037</t>
        </is>
      </c>
      <c r="BE465" t="inlineStr">
        <is>
          <t>32285004980461</t>
        </is>
      </c>
      <c r="BF465" t="inlineStr">
        <is>
          <t>893325157</t>
        </is>
      </c>
    </row>
    <row r="466">
      <c r="A466" t="inlineStr">
        <is>
          <t>No</t>
        </is>
      </c>
      <c r="B466" t="inlineStr">
        <is>
          <t>CURAL</t>
        </is>
      </c>
      <c r="C466" t="inlineStr">
        <is>
          <t>SHELVES</t>
        </is>
      </c>
      <c r="D466" t="inlineStr">
        <is>
          <t>PQ6076 .H3 1965</t>
        </is>
      </c>
      <c r="E466" t="inlineStr">
        <is>
          <t>0                      PQ 6076000H  3           1965</t>
        </is>
      </c>
      <c r="F466" t="inlineStr">
        <is>
          <t>Nuevo lenguaje poético de Silva a Neruda / [por] Carlos D. Hamilton.</t>
        </is>
      </c>
      <c r="H466" t="inlineStr">
        <is>
          <t>No</t>
        </is>
      </c>
      <c r="I466" t="inlineStr">
        <is>
          <t>1</t>
        </is>
      </c>
      <c r="J466" t="inlineStr">
        <is>
          <t>No</t>
        </is>
      </c>
      <c r="K466" t="inlineStr">
        <is>
          <t>No</t>
        </is>
      </c>
      <c r="L466" t="inlineStr">
        <is>
          <t>0</t>
        </is>
      </c>
      <c r="M466" t="inlineStr">
        <is>
          <t>Hamilton, Carlos D. (Carlos Depassier), 1908-1988.</t>
        </is>
      </c>
      <c r="O466" t="inlineStr">
        <is>
          <t>1965</t>
        </is>
      </c>
      <c r="Q466" t="inlineStr">
        <is>
          <t>spa</t>
        </is>
      </c>
      <c r="R466" t="inlineStr">
        <is>
          <t xml:space="preserve">ck </t>
        </is>
      </c>
      <c r="S466" t="inlineStr">
        <is>
          <t>Publicaciones del Instituto Caro y Cuervo. Series minor ; 10</t>
        </is>
      </c>
      <c r="T466" t="inlineStr">
        <is>
          <t xml:space="preserve">PQ </t>
        </is>
      </c>
      <c r="U466" t="n">
        <v>1</v>
      </c>
      <c r="V466" t="n">
        <v>1</v>
      </c>
      <c r="W466" t="inlineStr">
        <is>
          <t>2005-03-23</t>
        </is>
      </c>
      <c r="X466" t="inlineStr">
        <is>
          <t>2005-03-23</t>
        </is>
      </c>
      <c r="Y466" t="inlineStr">
        <is>
          <t>2005-03-23</t>
        </is>
      </c>
      <c r="Z466" t="inlineStr">
        <is>
          <t>2005-03-23</t>
        </is>
      </c>
      <c r="AA466" t="n">
        <v>191</v>
      </c>
      <c r="AB466" t="n">
        <v>160</v>
      </c>
      <c r="AC466" t="n">
        <v>165</v>
      </c>
      <c r="AD466" t="n">
        <v>3</v>
      </c>
      <c r="AE466" t="n">
        <v>3</v>
      </c>
      <c r="AF466" t="n">
        <v>9</v>
      </c>
      <c r="AG466" t="n">
        <v>9</v>
      </c>
      <c r="AH466" t="n">
        <v>3</v>
      </c>
      <c r="AI466" t="n">
        <v>3</v>
      </c>
      <c r="AJ466" t="n">
        <v>1</v>
      </c>
      <c r="AK466" t="n">
        <v>1</v>
      </c>
      <c r="AL466" t="n">
        <v>5</v>
      </c>
      <c r="AM466" t="n">
        <v>5</v>
      </c>
      <c r="AN466" t="n">
        <v>2</v>
      </c>
      <c r="AO466" t="n">
        <v>2</v>
      </c>
      <c r="AP466" t="n">
        <v>0</v>
      </c>
      <c r="AQ466" t="n">
        <v>0</v>
      </c>
      <c r="AR466" t="inlineStr">
        <is>
          <t>No</t>
        </is>
      </c>
      <c r="AS466" t="inlineStr">
        <is>
          <t>Yes</t>
        </is>
      </c>
      <c r="AT466">
        <f>HYPERLINK("http://catalog.hathitrust.org/Record/001048923","HathiTrust Record")</f>
        <v/>
      </c>
      <c r="AU466">
        <f>HYPERLINK("https://creighton-primo.hosted.exlibrisgroup.com/primo-explore/search?tab=default_tab&amp;search_scope=EVERYTHING&amp;vid=01CRU&amp;lang=en_US&amp;offset=0&amp;query=any,contains,991004509979702656","Catalog Record")</f>
        <v/>
      </c>
      <c r="AV466">
        <f>HYPERLINK("http://www.worldcat.org/oclc/1113841","WorldCat Record")</f>
        <v/>
      </c>
      <c r="AW466" t="inlineStr">
        <is>
          <t>2003687:spa</t>
        </is>
      </c>
      <c r="AX466" t="inlineStr">
        <is>
          <t>1113841</t>
        </is>
      </c>
      <c r="AY466" t="inlineStr">
        <is>
          <t>991004509979702656</t>
        </is>
      </c>
      <c r="AZ466" t="inlineStr">
        <is>
          <t>991004509979702656</t>
        </is>
      </c>
      <c r="BA466" t="inlineStr">
        <is>
          <t>2272464230002656</t>
        </is>
      </c>
      <c r="BB466" t="inlineStr">
        <is>
          <t>BOOK</t>
        </is>
      </c>
      <c r="BE466" t="inlineStr">
        <is>
          <t>32285005044481</t>
        </is>
      </c>
      <c r="BF466" t="inlineStr">
        <is>
          <t>893241520</t>
        </is>
      </c>
    </row>
    <row r="467">
      <c r="A467" t="inlineStr">
        <is>
          <t>No</t>
        </is>
      </c>
      <c r="B467" t="inlineStr">
        <is>
          <t>CURAL</t>
        </is>
      </c>
      <c r="C467" t="inlineStr">
        <is>
          <t>SHELVES</t>
        </is>
      </c>
      <c r="D467" t="inlineStr">
        <is>
          <t>PQ6077 .G8 1962</t>
        </is>
      </c>
      <c r="E467" t="inlineStr">
        <is>
          <t>0                      PQ 6077000G  8           1962</t>
        </is>
      </c>
      <c r="F467" t="inlineStr">
        <is>
          <t>Lenguaje y poesia : algunos casos españoles / Jorge Guillen.</t>
        </is>
      </c>
      <c r="H467" t="inlineStr">
        <is>
          <t>No</t>
        </is>
      </c>
      <c r="I467" t="inlineStr">
        <is>
          <t>1</t>
        </is>
      </c>
      <c r="J467" t="inlineStr">
        <is>
          <t>No</t>
        </is>
      </c>
      <c r="K467" t="inlineStr">
        <is>
          <t>No</t>
        </is>
      </c>
      <c r="L467" t="inlineStr">
        <is>
          <t>0</t>
        </is>
      </c>
      <c r="M467" t="inlineStr">
        <is>
          <t>Guillén, Jorge, 1893-1984.</t>
        </is>
      </c>
      <c r="N467" t="inlineStr">
        <is>
          <t>Madrid : Revista de Occidente, 1962.</t>
        </is>
      </c>
      <c r="O467" t="inlineStr">
        <is>
          <t>1962</t>
        </is>
      </c>
      <c r="Q467" t="inlineStr">
        <is>
          <t>spa</t>
        </is>
      </c>
      <c r="R467" t="inlineStr">
        <is>
          <t xml:space="preserve">sp </t>
        </is>
      </c>
      <c r="T467" t="inlineStr">
        <is>
          <t xml:space="preserve">PQ </t>
        </is>
      </c>
      <c r="U467" t="n">
        <v>1</v>
      </c>
      <c r="V467" t="n">
        <v>1</v>
      </c>
      <c r="W467" t="inlineStr">
        <is>
          <t>2005-04-06</t>
        </is>
      </c>
      <c r="X467" t="inlineStr">
        <is>
          <t>2005-04-06</t>
        </is>
      </c>
      <c r="Y467" t="inlineStr">
        <is>
          <t>2005-04-06</t>
        </is>
      </c>
      <c r="Z467" t="inlineStr">
        <is>
          <t>2005-04-06</t>
        </is>
      </c>
      <c r="AA467" t="n">
        <v>205</v>
      </c>
      <c r="AB467" t="n">
        <v>167</v>
      </c>
      <c r="AC467" t="n">
        <v>172</v>
      </c>
      <c r="AD467" t="n">
        <v>3</v>
      </c>
      <c r="AE467" t="n">
        <v>3</v>
      </c>
      <c r="AF467" t="n">
        <v>9</v>
      </c>
      <c r="AG467" t="n">
        <v>9</v>
      </c>
      <c r="AH467" t="n">
        <v>1</v>
      </c>
      <c r="AI467" t="n">
        <v>1</v>
      </c>
      <c r="AJ467" t="n">
        <v>2</v>
      </c>
      <c r="AK467" t="n">
        <v>2</v>
      </c>
      <c r="AL467" t="n">
        <v>5</v>
      </c>
      <c r="AM467" t="n">
        <v>5</v>
      </c>
      <c r="AN467" t="n">
        <v>2</v>
      </c>
      <c r="AO467" t="n">
        <v>2</v>
      </c>
      <c r="AP467" t="n">
        <v>0</v>
      </c>
      <c r="AQ467" t="n">
        <v>0</v>
      </c>
      <c r="AR467" t="inlineStr">
        <is>
          <t>No</t>
        </is>
      </c>
      <c r="AS467" t="inlineStr">
        <is>
          <t>Yes</t>
        </is>
      </c>
      <c r="AT467">
        <f>HYPERLINK("http://catalog.hathitrust.org/Record/001519779","HathiTrust Record")</f>
        <v/>
      </c>
      <c r="AU467">
        <f>HYPERLINK("https://creighton-primo.hosted.exlibrisgroup.com/primo-explore/search?tab=default_tab&amp;search_scope=EVERYTHING&amp;vid=01CRU&amp;lang=en_US&amp;offset=0&amp;query=any,contains,991004522519702656","Catalog Record")</f>
        <v/>
      </c>
      <c r="AV467">
        <f>HYPERLINK("http://www.worldcat.org/oclc/2461335","WorldCat Record")</f>
        <v/>
      </c>
      <c r="AW467" t="inlineStr">
        <is>
          <t>5575756256:spa</t>
        </is>
      </c>
      <c r="AX467" t="inlineStr">
        <is>
          <t>2461335</t>
        </is>
      </c>
      <c r="AY467" t="inlineStr">
        <is>
          <t>991004522519702656</t>
        </is>
      </c>
      <c r="AZ467" t="inlineStr">
        <is>
          <t>991004522519702656</t>
        </is>
      </c>
      <c r="BA467" t="inlineStr">
        <is>
          <t>2270567670002656</t>
        </is>
      </c>
      <c r="BB467" t="inlineStr">
        <is>
          <t>BOOK</t>
        </is>
      </c>
      <c r="BE467" t="inlineStr">
        <is>
          <t>32285005048185</t>
        </is>
      </c>
      <c r="BF467" t="inlineStr">
        <is>
          <t>893801048</t>
        </is>
      </c>
    </row>
    <row r="468">
      <c r="A468" t="inlineStr">
        <is>
          <t>No</t>
        </is>
      </c>
      <c r="B468" t="inlineStr">
        <is>
          <t>CURAL</t>
        </is>
      </c>
      <c r="C468" t="inlineStr">
        <is>
          <t>SHELVES</t>
        </is>
      </c>
      <c r="D468" t="inlineStr">
        <is>
          <t>PQ6081 .P53</t>
        </is>
      </c>
      <c r="E468" t="inlineStr">
        <is>
          <t>0                      PQ 6081000P  53</t>
        </is>
      </c>
      <c r="F468" t="inlineStr">
        <is>
          <t>La poesía épica del Siglo de Oro / Frank Pierce ; versión española de J.C. Cayol de Bethencourt.</t>
        </is>
      </c>
      <c r="H468" t="inlineStr">
        <is>
          <t>No</t>
        </is>
      </c>
      <c r="I468" t="inlineStr">
        <is>
          <t>1</t>
        </is>
      </c>
      <c r="J468" t="inlineStr">
        <is>
          <t>No</t>
        </is>
      </c>
      <c r="K468" t="inlineStr">
        <is>
          <t>No</t>
        </is>
      </c>
      <c r="L468" t="inlineStr">
        <is>
          <t>0</t>
        </is>
      </c>
      <c r="M468" t="inlineStr">
        <is>
          <t>Pierce, Frank, 1915-</t>
        </is>
      </c>
      <c r="N468" t="inlineStr">
        <is>
          <t>Madrid : Gredos, 1968.</t>
        </is>
      </c>
      <c r="O468" t="inlineStr">
        <is>
          <t>1968</t>
        </is>
      </c>
      <c r="P468" t="inlineStr">
        <is>
          <t>2. ed., rev. y aumentada.</t>
        </is>
      </c>
      <c r="Q468" t="inlineStr">
        <is>
          <t>spa</t>
        </is>
      </c>
      <c r="R468" t="inlineStr">
        <is>
          <t xml:space="preserve">sp </t>
        </is>
      </c>
      <c r="S468" t="inlineStr">
        <is>
          <t>Biblioteca románica hispánica. 2, Estudios y ensayos ; 51</t>
        </is>
      </c>
      <c r="T468" t="inlineStr">
        <is>
          <t xml:space="preserve">PQ </t>
        </is>
      </c>
      <c r="U468" t="n">
        <v>2</v>
      </c>
      <c r="V468" t="n">
        <v>2</v>
      </c>
      <c r="W468" t="inlineStr">
        <is>
          <t>1999-04-06</t>
        </is>
      </c>
      <c r="X468" t="inlineStr">
        <is>
          <t>1999-04-06</t>
        </is>
      </c>
      <c r="Y468" t="inlineStr">
        <is>
          <t>1997-06-26</t>
        </is>
      </c>
      <c r="Z468" t="inlineStr">
        <is>
          <t>1997-06-26</t>
        </is>
      </c>
      <c r="AA468" t="n">
        <v>268</v>
      </c>
      <c r="AB468" t="n">
        <v>215</v>
      </c>
      <c r="AC468" t="n">
        <v>217</v>
      </c>
      <c r="AD468" t="n">
        <v>1</v>
      </c>
      <c r="AE468" t="n">
        <v>1</v>
      </c>
      <c r="AF468" t="n">
        <v>4</v>
      </c>
      <c r="AG468" t="n">
        <v>4</v>
      </c>
      <c r="AH468" t="n">
        <v>0</v>
      </c>
      <c r="AI468" t="n">
        <v>0</v>
      </c>
      <c r="AJ468" t="n">
        <v>0</v>
      </c>
      <c r="AK468" t="n">
        <v>0</v>
      </c>
      <c r="AL468" t="n">
        <v>4</v>
      </c>
      <c r="AM468" t="n">
        <v>4</v>
      </c>
      <c r="AN468" t="n">
        <v>0</v>
      </c>
      <c r="AO468" t="n">
        <v>0</v>
      </c>
      <c r="AP468" t="n">
        <v>0</v>
      </c>
      <c r="AQ468" t="n">
        <v>0</v>
      </c>
      <c r="AR468" t="inlineStr">
        <is>
          <t>No</t>
        </is>
      </c>
      <c r="AS468" t="inlineStr">
        <is>
          <t>Yes</t>
        </is>
      </c>
      <c r="AT468">
        <f>HYPERLINK("http://catalog.hathitrust.org/Record/001519937","HathiTrust Record")</f>
        <v/>
      </c>
      <c r="AU468">
        <f>HYPERLINK("https://creighton-primo.hosted.exlibrisgroup.com/primo-explore/search?tab=default_tab&amp;search_scope=EVERYTHING&amp;vid=01CRU&amp;lang=en_US&amp;offset=0&amp;query=any,contains,991004155619702656","Catalog Record")</f>
        <v/>
      </c>
      <c r="AV468">
        <f>HYPERLINK("http://www.worldcat.org/oclc/2540329","WorldCat Record")</f>
        <v/>
      </c>
      <c r="AW468" t="inlineStr">
        <is>
          <t>9566020583:spa</t>
        </is>
      </c>
      <c r="AX468" t="inlineStr">
        <is>
          <t>2540329</t>
        </is>
      </c>
      <c r="AY468" t="inlineStr">
        <is>
          <t>991004155619702656</t>
        </is>
      </c>
      <c r="AZ468" t="inlineStr">
        <is>
          <t>991004155619702656</t>
        </is>
      </c>
      <c r="BA468" t="inlineStr">
        <is>
          <t>2271437380002656</t>
        </is>
      </c>
      <c r="BB468" t="inlineStr">
        <is>
          <t>BOOK</t>
        </is>
      </c>
      <c r="BE468" t="inlineStr">
        <is>
          <t>32285002516507</t>
        </is>
      </c>
      <c r="BF468" t="inlineStr">
        <is>
          <t>893693592</t>
        </is>
      </c>
    </row>
    <row r="469">
      <c r="A469" t="inlineStr">
        <is>
          <t>No</t>
        </is>
      </c>
      <c r="B469" t="inlineStr">
        <is>
          <t>CURAL</t>
        </is>
      </c>
      <c r="C469" t="inlineStr">
        <is>
          <t>SHELVES</t>
        </is>
      </c>
      <c r="D469" t="inlineStr">
        <is>
          <t>PQ6081 .R62 1968</t>
        </is>
      </c>
      <c r="E469" t="inlineStr">
        <is>
          <t>0                      PQ 6081000R  62          1968</t>
        </is>
      </c>
      <c r="F469" t="inlineStr">
        <is>
          <t>Poesía y cancioneros (siglo XVI) : discurso leído ante la Real Academia Española / el día 20 de octubre de 1968 en su recepción pública por Antonio Rodríguez-Moñino y contestación del Excmo. Sr. D. Camilo José Cela.</t>
        </is>
      </c>
      <c r="H469" t="inlineStr">
        <is>
          <t>No</t>
        </is>
      </c>
      <c r="I469" t="inlineStr">
        <is>
          <t>1</t>
        </is>
      </c>
      <c r="J469" t="inlineStr">
        <is>
          <t>No</t>
        </is>
      </c>
      <c r="K469" t="inlineStr">
        <is>
          <t>No</t>
        </is>
      </c>
      <c r="L469" t="inlineStr">
        <is>
          <t>0</t>
        </is>
      </c>
      <c r="M469" t="inlineStr">
        <is>
          <t>Rodríguez Moñino, Antonio R., 1910-1970.</t>
        </is>
      </c>
      <c r="O469" t="inlineStr">
        <is>
          <t>1968</t>
        </is>
      </c>
      <c r="Q469" t="inlineStr">
        <is>
          <t>spa</t>
        </is>
      </c>
      <c r="R469" t="inlineStr">
        <is>
          <t xml:space="preserve">sp </t>
        </is>
      </c>
      <c r="T469" t="inlineStr">
        <is>
          <t xml:space="preserve">PQ </t>
        </is>
      </c>
      <c r="U469" t="n">
        <v>2</v>
      </c>
      <c r="V469" t="n">
        <v>2</v>
      </c>
      <c r="W469" t="inlineStr">
        <is>
          <t>2005-04-06</t>
        </is>
      </c>
      <c r="X469" t="inlineStr">
        <is>
          <t>2005-04-06</t>
        </is>
      </c>
      <c r="Y469" t="inlineStr">
        <is>
          <t>2005-04-06</t>
        </is>
      </c>
      <c r="Z469" t="inlineStr">
        <is>
          <t>2005-04-06</t>
        </is>
      </c>
      <c r="AA469" t="n">
        <v>168</v>
      </c>
      <c r="AB469" t="n">
        <v>140</v>
      </c>
      <c r="AC469" t="n">
        <v>150</v>
      </c>
      <c r="AD469" t="n">
        <v>3</v>
      </c>
      <c r="AE469" t="n">
        <v>3</v>
      </c>
      <c r="AF469" t="n">
        <v>9</v>
      </c>
      <c r="AG469" t="n">
        <v>9</v>
      </c>
      <c r="AH469" t="n">
        <v>0</v>
      </c>
      <c r="AI469" t="n">
        <v>0</v>
      </c>
      <c r="AJ469" t="n">
        <v>1</v>
      </c>
      <c r="AK469" t="n">
        <v>1</v>
      </c>
      <c r="AL469" t="n">
        <v>6</v>
      </c>
      <c r="AM469" t="n">
        <v>6</v>
      </c>
      <c r="AN469" t="n">
        <v>2</v>
      </c>
      <c r="AO469" t="n">
        <v>2</v>
      </c>
      <c r="AP469" t="n">
        <v>0</v>
      </c>
      <c r="AQ469" t="n">
        <v>0</v>
      </c>
      <c r="AR469" t="inlineStr">
        <is>
          <t>No</t>
        </is>
      </c>
      <c r="AS469" t="inlineStr">
        <is>
          <t>Yes</t>
        </is>
      </c>
      <c r="AT469">
        <f>HYPERLINK("http://catalog.hathitrust.org/Record/001049243","HathiTrust Record")</f>
        <v/>
      </c>
      <c r="AU469">
        <f>HYPERLINK("https://creighton-primo.hosted.exlibrisgroup.com/primo-explore/search?tab=default_tab&amp;search_scope=EVERYTHING&amp;vid=01CRU&amp;lang=en_US&amp;offset=0&amp;query=any,contains,991004522579702656","Catalog Record")</f>
        <v/>
      </c>
      <c r="AV469">
        <f>HYPERLINK("http://www.worldcat.org/oclc/599989","WorldCat Record")</f>
        <v/>
      </c>
      <c r="AW469" t="inlineStr">
        <is>
          <t>377680644:spa</t>
        </is>
      </c>
      <c r="AX469" t="inlineStr">
        <is>
          <t>599989</t>
        </is>
      </c>
      <c r="AY469" t="inlineStr">
        <is>
          <t>991004522579702656</t>
        </is>
      </c>
      <c r="AZ469" t="inlineStr">
        <is>
          <t>991004522579702656</t>
        </is>
      </c>
      <c r="BA469" t="inlineStr">
        <is>
          <t>2270272760002656</t>
        </is>
      </c>
      <c r="BB469" t="inlineStr">
        <is>
          <t>BOOK</t>
        </is>
      </c>
      <c r="BE469" t="inlineStr">
        <is>
          <t>32285005048177</t>
        </is>
      </c>
      <c r="BF469" t="inlineStr">
        <is>
          <t>893500687</t>
        </is>
      </c>
    </row>
    <row r="470">
      <c r="A470" t="inlineStr">
        <is>
          <t>No</t>
        </is>
      </c>
      <c r="B470" t="inlineStr">
        <is>
          <t>CURAL</t>
        </is>
      </c>
      <c r="C470" t="inlineStr">
        <is>
          <t>SHELVES</t>
        </is>
      </c>
      <c r="D470" t="inlineStr">
        <is>
          <t>PQ6085 .B68 1985</t>
        </is>
      </c>
      <c r="E470" t="inlineStr">
        <is>
          <t>0                      PQ 6085000B  68          1985</t>
        </is>
      </c>
      <c r="F470" t="inlineStr">
        <is>
          <t>Poesía poscontemporánea : cuatro estudios y una introducción / Carlos Bousoño.</t>
        </is>
      </c>
      <c r="H470" t="inlineStr">
        <is>
          <t>No</t>
        </is>
      </c>
      <c r="I470" t="inlineStr">
        <is>
          <t>1</t>
        </is>
      </c>
      <c r="J470" t="inlineStr">
        <is>
          <t>No</t>
        </is>
      </c>
      <c r="K470" t="inlineStr">
        <is>
          <t>No</t>
        </is>
      </c>
      <c r="L470" t="inlineStr">
        <is>
          <t>0</t>
        </is>
      </c>
      <c r="M470" t="inlineStr">
        <is>
          <t>Bousoño, Carlos.</t>
        </is>
      </c>
      <c r="N470" t="inlineStr">
        <is>
          <t>Madrid : Ediciones Júcar, 1985, c1984.</t>
        </is>
      </c>
      <c r="O470" t="inlineStr">
        <is>
          <t>1985</t>
        </is>
      </c>
      <c r="P470" t="inlineStr">
        <is>
          <t>1a ed.</t>
        </is>
      </c>
      <c r="Q470" t="inlineStr">
        <is>
          <t>spa</t>
        </is>
      </c>
      <c r="R470" t="inlineStr">
        <is>
          <t xml:space="preserve">sp </t>
        </is>
      </c>
      <c r="S470" t="inlineStr">
        <is>
          <t>Poetas. Serie mayor ; 4</t>
        </is>
      </c>
      <c r="T470" t="inlineStr">
        <is>
          <t xml:space="preserve">PQ </t>
        </is>
      </c>
      <c r="U470" t="n">
        <v>4</v>
      </c>
      <c r="V470" t="n">
        <v>4</v>
      </c>
      <c r="W470" t="inlineStr">
        <is>
          <t>1999-11-17</t>
        </is>
      </c>
      <c r="X470" t="inlineStr">
        <is>
          <t>1999-11-17</t>
        </is>
      </c>
      <c r="Y470" t="inlineStr">
        <is>
          <t>1991-05-22</t>
        </is>
      </c>
      <c r="Z470" t="inlineStr">
        <is>
          <t>1991-05-22</t>
        </is>
      </c>
      <c r="AA470" t="n">
        <v>111</v>
      </c>
      <c r="AB470" t="n">
        <v>85</v>
      </c>
      <c r="AC470" t="n">
        <v>91</v>
      </c>
      <c r="AD470" t="n">
        <v>2</v>
      </c>
      <c r="AE470" t="n">
        <v>2</v>
      </c>
      <c r="AF470" t="n">
        <v>1</v>
      </c>
      <c r="AG470" t="n">
        <v>2</v>
      </c>
      <c r="AH470" t="n">
        <v>0</v>
      </c>
      <c r="AI470" t="n">
        <v>0</v>
      </c>
      <c r="AJ470" t="n">
        <v>0</v>
      </c>
      <c r="AK470" t="n">
        <v>1</v>
      </c>
      <c r="AL470" t="n">
        <v>0</v>
      </c>
      <c r="AM470" t="n">
        <v>1</v>
      </c>
      <c r="AN470" t="n">
        <v>1</v>
      </c>
      <c r="AO470" t="n">
        <v>1</v>
      </c>
      <c r="AP470" t="n">
        <v>0</v>
      </c>
      <c r="AQ470" t="n">
        <v>0</v>
      </c>
      <c r="AR470" t="inlineStr">
        <is>
          <t>No</t>
        </is>
      </c>
      <c r="AS470" t="inlineStr">
        <is>
          <t>Yes</t>
        </is>
      </c>
      <c r="AT470">
        <f>HYPERLINK("http://catalog.hathitrust.org/Record/000831720","HathiTrust Record")</f>
        <v/>
      </c>
      <c r="AU470">
        <f>HYPERLINK("https://creighton-primo.hosted.exlibrisgroup.com/primo-explore/search?tab=default_tab&amp;search_scope=EVERYTHING&amp;vid=01CRU&amp;lang=en_US&amp;offset=0&amp;query=any,contains,991000861059702656","Catalog Record")</f>
        <v/>
      </c>
      <c r="AV470">
        <f>HYPERLINK("http://www.worldcat.org/oclc/18626169","WorldCat Record")</f>
        <v/>
      </c>
      <c r="AW470" t="inlineStr">
        <is>
          <t>863908408:spa</t>
        </is>
      </c>
      <c r="AX470" t="inlineStr">
        <is>
          <t>18626169</t>
        </is>
      </c>
      <c r="AY470" t="inlineStr">
        <is>
          <t>991000861059702656</t>
        </is>
      </c>
      <c r="AZ470" t="inlineStr">
        <is>
          <t>991000861059702656</t>
        </is>
      </c>
      <c r="BA470" t="inlineStr">
        <is>
          <t>2255790000002656</t>
        </is>
      </c>
      <c r="BB470" t="inlineStr">
        <is>
          <t>BOOK</t>
        </is>
      </c>
      <c r="BD470" t="inlineStr">
        <is>
          <t>9788433445049</t>
        </is>
      </c>
      <c r="BE470" t="inlineStr">
        <is>
          <t>32285000598697</t>
        </is>
      </c>
      <c r="BF470" t="inlineStr">
        <is>
          <t>893865751</t>
        </is>
      </c>
    </row>
    <row r="471">
      <c r="A471" t="inlineStr">
        <is>
          <t>No</t>
        </is>
      </c>
      <c r="B471" t="inlineStr">
        <is>
          <t>CURAL</t>
        </is>
      </c>
      <c r="C471" t="inlineStr">
        <is>
          <t>SHELVES</t>
        </is>
      </c>
      <c r="D471" t="inlineStr">
        <is>
          <t>PQ6085 .C3</t>
        </is>
      </c>
      <c r="E471" t="inlineStr">
        <is>
          <t>0                      PQ 6085000C  3</t>
        </is>
      </c>
      <c r="F471" t="inlineStr">
        <is>
          <t>Poesía española del siglo xx; de Unamuno a Blas de Otero.</t>
        </is>
      </c>
      <c r="H471" t="inlineStr">
        <is>
          <t>No</t>
        </is>
      </c>
      <c r="I471" t="inlineStr">
        <is>
          <t>1</t>
        </is>
      </c>
      <c r="J471" t="inlineStr">
        <is>
          <t>No</t>
        </is>
      </c>
      <c r="K471" t="inlineStr">
        <is>
          <t>No</t>
        </is>
      </c>
      <c r="L471" t="inlineStr">
        <is>
          <t>0</t>
        </is>
      </c>
      <c r="M471" t="inlineStr">
        <is>
          <t>Cano, José Luis.</t>
        </is>
      </c>
      <c r="N471" t="inlineStr">
        <is>
          <t>Madrid, Guadarrama [1960]</t>
        </is>
      </c>
      <c r="O471" t="inlineStr">
        <is>
          <t>1960</t>
        </is>
      </c>
      <c r="Q471" t="inlineStr">
        <is>
          <t>spa</t>
        </is>
      </c>
      <c r="R471" t="inlineStr">
        <is>
          <t xml:space="preserve">sp </t>
        </is>
      </c>
      <c r="S471" t="inlineStr">
        <is>
          <t>Colleción Guadarrama de crítica y ensayo, 28</t>
        </is>
      </c>
      <c r="T471" t="inlineStr">
        <is>
          <t xml:space="preserve">PQ </t>
        </is>
      </c>
      <c r="U471" t="n">
        <v>2</v>
      </c>
      <c r="V471" t="n">
        <v>2</v>
      </c>
      <c r="W471" t="inlineStr">
        <is>
          <t>1998-09-14</t>
        </is>
      </c>
      <c r="X471" t="inlineStr">
        <is>
          <t>1998-09-14</t>
        </is>
      </c>
      <c r="Y471" t="inlineStr">
        <is>
          <t>1997-06-26</t>
        </is>
      </c>
      <c r="Z471" t="inlineStr">
        <is>
          <t>1997-06-26</t>
        </is>
      </c>
      <c r="AA471" t="n">
        <v>327</v>
      </c>
      <c r="AB471" t="n">
        <v>281</v>
      </c>
      <c r="AC471" t="n">
        <v>289</v>
      </c>
      <c r="AD471" t="n">
        <v>3</v>
      </c>
      <c r="AE471" t="n">
        <v>3</v>
      </c>
      <c r="AF471" t="n">
        <v>14</v>
      </c>
      <c r="AG471" t="n">
        <v>14</v>
      </c>
      <c r="AH471" t="n">
        <v>2</v>
      </c>
      <c r="AI471" t="n">
        <v>2</v>
      </c>
      <c r="AJ471" t="n">
        <v>5</v>
      </c>
      <c r="AK471" t="n">
        <v>5</v>
      </c>
      <c r="AL471" t="n">
        <v>8</v>
      </c>
      <c r="AM471" t="n">
        <v>8</v>
      </c>
      <c r="AN471" t="n">
        <v>2</v>
      </c>
      <c r="AO471" t="n">
        <v>2</v>
      </c>
      <c r="AP471" t="n">
        <v>0</v>
      </c>
      <c r="AQ471" t="n">
        <v>0</v>
      </c>
      <c r="AR471" t="inlineStr">
        <is>
          <t>No</t>
        </is>
      </c>
      <c r="AS471" t="inlineStr">
        <is>
          <t>Yes</t>
        </is>
      </c>
      <c r="AT471">
        <f>HYPERLINK("http://catalog.hathitrust.org/Record/001519691","HathiTrust Record")</f>
        <v/>
      </c>
      <c r="AU471">
        <f>HYPERLINK("https://creighton-primo.hosted.exlibrisgroup.com/primo-explore/search?tab=default_tab&amp;search_scope=EVERYTHING&amp;vid=01CRU&amp;lang=en_US&amp;offset=0&amp;query=any,contains,991003669679702656","Catalog Record")</f>
        <v/>
      </c>
      <c r="AV471">
        <f>HYPERLINK("http://www.worldcat.org/oclc/1286951","WorldCat Record")</f>
        <v/>
      </c>
      <c r="AW471" t="inlineStr">
        <is>
          <t>308931886:spa</t>
        </is>
      </c>
      <c r="AX471" t="inlineStr">
        <is>
          <t>1286951</t>
        </is>
      </c>
      <c r="AY471" t="inlineStr">
        <is>
          <t>991003669679702656</t>
        </is>
      </c>
      <c r="AZ471" t="inlineStr">
        <is>
          <t>991003669679702656</t>
        </is>
      </c>
      <c r="BA471" t="inlineStr">
        <is>
          <t>2268042990002656</t>
        </is>
      </c>
      <c r="BB471" t="inlineStr">
        <is>
          <t>BOOK</t>
        </is>
      </c>
      <c r="BE471" t="inlineStr">
        <is>
          <t>32285002516531</t>
        </is>
      </c>
      <c r="BF471" t="inlineStr">
        <is>
          <t>893429060</t>
        </is>
      </c>
    </row>
    <row r="472">
      <c r="A472" t="inlineStr">
        <is>
          <t>No</t>
        </is>
      </c>
      <c r="B472" t="inlineStr">
        <is>
          <t>CURAL</t>
        </is>
      </c>
      <c r="C472" t="inlineStr">
        <is>
          <t>SHELVES</t>
        </is>
      </c>
      <c r="D472" t="inlineStr">
        <is>
          <t>PQ6085 .C58 1992</t>
        </is>
      </c>
      <c r="E472" t="inlineStr">
        <is>
          <t>0                      PQ 6085000C  58          1992</t>
        </is>
      </c>
      <c r="F472" t="inlineStr">
        <is>
          <t>La poesía española de 1935 a 1975 / Víctor García de la Concha.</t>
        </is>
      </c>
      <c r="G472" t="inlineStr">
        <is>
          <t>V. 2</t>
        </is>
      </c>
      <c r="H472" t="inlineStr">
        <is>
          <t>Yes</t>
        </is>
      </c>
      <c r="I472" t="inlineStr">
        <is>
          <t>1</t>
        </is>
      </c>
      <c r="J472" t="inlineStr">
        <is>
          <t>No</t>
        </is>
      </c>
      <c r="K472" t="inlineStr">
        <is>
          <t>No</t>
        </is>
      </c>
      <c r="L472" t="inlineStr">
        <is>
          <t>0</t>
        </is>
      </c>
      <c r="M472" t="inlineStr">
        <is>
          <t>Concha, Víctor G. de la.</t>
        </is>
      </c>
      <c r="N472" t="inlineStr">
        <is>
          <t>Madrid : Cátedra, c1992-</t>
        </is>
      </c>
      <c r="O472" t="inlineStr">
        <is>
          <t>1992</t>
        </is>
      </c>
      <c r="P472" t="inlineStr">
        <is>
          <t>2a ed.</t>
        </is>
      </c>
      <c r="Q472" t="inlineStr">
        <is>
          <t>spa</t>
        </is>
      </c>
      <c r="R472" t="inlineStr">
        <is>
          <t xml:space="preserve">sp </t>
        </is>
      </c>
      <c r="S472" t="inlineStr">
        <is>
          <t>Crítica y estudios literarios</t>
        </is>
      </c>
      <c r="T472" t="inlineStr">
        <is>
          <t xml:space="preserve">PQ </t>
        </is>
      </c>
      <c r="U472" t="n">
        <v>1</v>
      </c>
      <c r="V472" t="n">
        <v>2</v>
      </c>
      <c r="W472" t="inlineStr">
        <is>
          <t>2002-05-08</t>
        </is>
      </c>
      <c r="X472" t="inlineStr">
        <is>
          <t>2004-06-10</t>
        </is>
      </c>
      <c r="Y472" t="inlineStr">
        <is>
          <t>2002-04-30</t>
        </is>
      </c>
      <c r="Z472" t="inlineStr">
        <is>
          <t>2004-06-10</t>
        </is>
      </c>
      <c r="AA472" t="n">
        <v>32</v>
      </c>
      <c r="AB472" t="n">
        <v>21</v>
      </c>
      <c r="AC472" t="n">
        <v>21</v>
      </c>
      <c r="AD472" t="n">
        <v>1</v>
      </c>
      <c r="AE472" t="n">
        <v>1</v>
      </c>
      <c r="AF472" t="n">
        <v>1</v>
      </c>
      <c r="AG472" t="n">
        <v>1</v>
      </c>
      <c r="AH472" t="n">
        <v>1</v>
      </c>
      <c r="AI472" t="n">
        <v>1</v>
      </c>
      <c r="AJ472" t="n">
        <v>1</v>
      </c>
      <c r="AK472" t="n">
        <v>1</v>
      </c>
      <c r="AL472" t="n">
        <v>0</v>
      </c>
      <c r="AM472" t="n">
        <v>0</v>
      </c>
      <c r="AN472" t="n">
        <v>0</v>
      </c>
      <c r="AO472" t="n">
        <v>0</v>
      </c>
      <c r="AP472" t="n">
        <v>0</v>
      </c>
      <c r="AQ472" t="n">
        <v>0</v>
      </c>
      <c r="AR472" t="inlineStr">
        <is>
          <t>No</t>
        </is>
      </c>
      <c r="AS472" t="inlineStr">
        <is>
          <t>No</t>
        </is>
      </c>
      <c r="AU472">
        <f>HYPERLINK("https://creighton-primo.hosted.exlibrisgroup.com/primo-explore/search?tab=default_tab&amp;search_scope=EVERYTHING&amp;vid=01CRU&amp;lang=en_US&amp;offset=0&amp;query=any,contains,991003772769702656","Catalog Record")</f>
        <v/>
      </c>
      <c r="AV472">
        <f>HYPERLINK("http://www.worldcat.org/oclc/33089884","WorldCat Record")</f>
        <v/>
      </c>
      <c r="AW472" t="inlineStr">
        <is>
          <t>3148015505:spa</t>
        </is>
      </c>
      <c r="AX472" t="inlineStr">
        <is>
          <t>33089884</t>
        </is>
      </c>
      <c r="AY472" t="inlineStr">
        <is>
          <t>991003772769702656</t>
        </is>
      </c>
      <c r="AZ472" t="inlineStr">
        <is>
          <t>991003772769702656</t>
        </is>
      </c>
      <c r="BA472" t="inlineStr">
        <is>
          <t>2254962500002656</t>
        </is>
      </c>
      <c r="BB472" t="inlineStr">
        <is>
          <t>BOOK</t>
        </is>
      </c>
      <c r="BD472" t="inlineStr">
        <is>
          <t>9788437606958</t>
        </is>
      </c>
      <c r="BE472" t="inlineStr">
        <is>
          <t>32285004484837</t>
        </is>
      </c>
      <c r="BF472" t="inlineStr">
        <is>
          <t>893875154</t>
        </is>
      </c>
    </row>
    <row r="473">
      <c r="A473" t="inlineStr">
        <is>
          <t>No</t>
        </is>
      </c>
      <c r="B473" t="inlineStr">
        <is>
          <t>CURAL</t>
        </is>
      </c>
      <c r="C473" t="inlineStr">
        <is>
          <t>SHELVES</t>
        </is>
      </c>
      <c r="D473" t="inlineStr">
        <is>
          <t>PQ6085 .C58 1992</t>
        </is>
      </c>
      <c r="E473" t="inlineStr">
        <is>
          <t>0                      PQ 6085000C  58          1992</t>
        </is>
      </c>
      <c r="F473" t="inlineStr">
        <is>
          <t>La poesía española de 1935 a 1975 / Víctor García de la Concha.</t>
        </is>
      </c>
      <c r="G473" t="inlineStr">
        <is>
          <t>V. 1</t>
        </is>
      </c>
      <c r="H473" t="inlineStr">
        <is>
          <t>Yes</t>
        </is>
      </c>
      <c r="I473" t="inlineStr">
        <is>
          <t>1</t>
        </is>
      </c>
      <c r="J473" t="inlineStr">
        <is>
          <t>No</t>
        </is>
      </c>
      <c r="K473" t="inlineStr">
        <is>
          <t>No</t>
        </is>
      </c>
      <c r="L473" t="inlineStr">
        <is>
          <t>0</t>
        </is>
      </c>
      <c r="M473" t="inlineStr">
        <is>
          <t>Concha, Víctor G. de la.</t>
        </is>
      </c>
      <c r="N473" t="inlineStr">
        <is>
          <t>Madrid : Cátedra, c1992-</t>
        </is>
      </c>
      <c r="O473" t="inlineStr">
        <is>
          <t>1992</t>
        </is>
      </c>
      <c r="P473" t="inlineStr">
        <is>
          <t>2a ed.</t>
        </is>
      </c>
      <c r="Q473" t="inlineStr">
        <is>
          <t>spa</t>
        </is>
      </c>
      <c r="R473" t="inlineStr">
        <is>
          <t xml:space="preserve">sp </t>
        </is>
      </c>
      <c r="S473" t="inlineStr">
        <is>
          <t>Crítica y estudios literarios</t>
        </is>
      </c>
      <c r="T473" t="inlineStr">
        <is>
          <t xml:space="preserve">PQ </t>
        </is>
      </c>
      <c r="U473" t="n">
        <v>1</v>
      </c>
      <c r="V473" t="n">
        <v>2</v>
      </c>
      <c r="W473" t="inlineStr">
        <is>
          <t>2004-06-10</t>
        </is>
      </c>
      <c r="X473" t="inlineStr">
        <is>
          <t>2004-06-10</t>
        </is>
      </c>
      <c r="Y473" t="inlineStr">
        <is>
          <t>2004-06-10</t>
        </is>
      </c>
      <c r="Z473" t="inlineStr">
        <is>
          <t>2004-06-10</t>
        </is>
      </c>
      <c r="AA473" t="n">
        <v>32</v>
      </c>
      <c r="AB473" t="n">
        <v>21</v>
      </c>
      <c r="AC473" t="n">
        <v>21</v>
      </c>
      <c r="AD473" t="n">
        <v>1</v>
      </c>
      <c r="AE473" t="n">
        <v>1</v>
      </c>
      <c r="AF473" t="n">
        <v>1</v>
      </c>
      <c r="AG473" t="n">
        <v>1</v>
      </c>
      <c r="AH473" t="n">
        <v>1</v>
      </c>
      <c r="AI473" t="n">
        <v>1</v>
      </c>
      <c r="AJ473" t="n">
        <v>1</v>
      </c>
      <c r="AK473" t="n">
        <v>1</v>
      </c>
      <c r="AL473" t="n">
        <v>0</v>
      </c>
      <c r="AM473" t="n">
        <v>0</v>
      </c>
      <c r="AN473" t="n">
        <v>0</v>
      </c>
      <c r="AO473" t="n">
        <v>0</v>
      </c>
      <c r="AP473" t="n">
        <v>0</v>
      </c>
      <c r="AQ473" t="n">
        <v>0</v>
      </c>
      <c r="AR473" t="inlineStr">
        <is>
          <t>No</t>
        </is>
      </c>
      <c r="AS473" t="inlineStr">
        <is>
          <t>No</t>
        </is>
      </c>
      <c r="AU473">
        <f>HYPERLINK("https://creighton-primo.hosted.exlibrisgroup.com/primo-explore/search?tab=default_tab&amp;search_scope=EVERYTHING&amp;vid=01CRU&amp;lang=en_US&amp;offset=0&amp;query=any,contains,991003772769702656","Catalog Record")</f>
        <v/>
      </c>
      <c r="AV473">
        <f>HYPERLINK("http://www.worldcat.org/oclc/33089884","WorldCat Record")</f>
        <v/>
      </c>
      <c r="AW473" t="inlineStr">
        <is>
          <t>3148015505:spa</t>
        </is>
      </c>
      <c r="AX473" t="inlineStr">
        <is>
          <t>33089884</t>
        </is>
      </c>
      <c r="AY473" t="inlineStr">
        <is>
          <t>991003772769702656</t>
        </is>
      </c>
      <c r="AZ473" t="inlineStr">
        <is>
          <t>991003772769702656</t>
        </is>
      </c>
      <c r="BA473" t="inlineStr">
        <is>
          <t>2254962500002656</t>
        </is>
      </c>
      <c r="BB473" t="inlineStr">
        <is>
          <t>BOOK</t>
        </is>
      </c>
      <c r="BD473" t="inlineStr">
        <is>
          <t>9788437606958</t>
        </is>
      </c>
      <c r="BE473" t="inlineStr">
        <is>
          <t>32285004909379</t>
        </is>
      </c>
      <c r="BF473" t="inlineStr">
        <is>
          <t>893900336</t>
        </is>
      </c>
    </row>
    <row r="474">
      <c r="A474" t="inlineStr">
        <is>
          <t>No</t>
        </is>
      </c>
      <c r="B474" t="inlineStr">
        <is>
          <t>CURAL</t>
        </is>
      </c>
      <c r="C474" t="inlineStr">
        <is>
          <t>SHELVES</t>
        </is>
      </c>
      <c r="D474" t="inlineStr">
        <is>
          <t>PQ6085 .G6 1970b</t>
        </is>
      </c>
      <c r="E474" t="inlineStr">
        <is>
          <t>0                      PQ 6085000G  6           1970b</t>
        </is>
      </c>
      <c r="F474" t="inlineStr">
        <is>
          <t>Poesía hispánica, 1939-1969 (estudio y antología) / [por] J.-P. González Martín.</t>
        </is>
      </c>
      <c r="H474" t="inlineStr">
        <is>
          <t>No</t>
        </is>
      </c>
      <c r="I474" t="inlineStr">
        <is>
          <t>1</t>
        </is>
      </c>
      <c r="J474" t="inlineStr">
        <is>
          <t>No</t>
        </is>
      </c>
      <c r="K474" t="inlineStr">
        <is>
          <t>No</t>
        </is>
      </c>
      <c r="L474" t="inlineStr">
        <is>
          <t>0</t>
        </is>
      </c>
      <c r="M474" t="inlineStr">
        <is>
          <t>González Martín, Jerónimo Pablo, 1933-</t>
        </is>
      </c>
      <c r="N474" t="inlineStr">
        <is>
          <t>Barcelona : [Ediciones Saturno], 1970.</t>
        </is>
      </c>
      <c r="O474" t="inlineStr">
        <is>
          <t>1970</t>
        </is>
      </c>
      <c r="P474" t="inlineStr">
        <is>
          <t>[1. ed.]</t>
        </is>
      </c>
      <c r="Q474" t="inlineStr">
        <is>
          <t>spa</t>
        </is>
      </c>
      <c r="R474" t="inlineStr">
        <is>
          <t xml:space="preserve">sp </t>
        </is>
      </c>
      <c r="S474" t="inlineStr">
        <is>
          <t>El Bardo ; 59-60</t>
        </is>
      </c>
      <c r="T474" t="inlineStr">
        <is>
          <t xml:space="preserve">PQ </t>
        </is>
      </c>
      <c r="U474" t="n">
        <v>1</v>
      </c>
      <c r="V474" t="n">
        <v>1</v>
      </c>
      <c r="W474" t="inlineStr">
        <is>
          <t>1998-02-16</t>
        </is>
      </c>
      <c r="X474" t="inlineStr">
        <is>
          <t>1998-02-16</t>
        </is>
      </c>
      <c r="Y474" t="inlineStr">
        <is>
          <t>1998-01-27</t>
        </is>
      </c>
      <c r="Z474" t="inlineStr">
        <is>
          <t>1998-01-27</t>
        </is>
      </c>
      <c r="AA474" t="n">
        <v>82</v>
      </c>
      <c r="AB474" t="n">
        <v>63</v>
      </c>
      <c r="AC474" t="n">
        <v>71</v>
      </c>
      <c r="AD474" t="n">
        <v>2</v>
      </c>
      <c r="AE474" t="n">
        <v>2</v>
      </c>
      <c r="AF474" t="n">
        <v>4</v>
      </c>
      <c r="AG474" t="n">
        <v>4</v>
      </c>
      <c r="AH474" t="n">
        <v>0</v>
      </c>
      <c r="AI474" t="n">
        <v>0</v>
      </c>
      <c r="AJ474" t="n">
        <v>2</v>
      </c>
      <c r="AK474" t="n">
        <v>2</v>
      </c>
      <c r="AL474" t="n">
        <v>2</v>
      </c>
      <c r="AM474" t="n">
        <v>2</v>
      </c>
      <c r="AN474" t="n">
        <v>1</v>
      </c>
      <c r="AO474" t="n">
        <v>1</v>
      </c>
      <c r="AP474" t="n">
        <v>0</v>
      </c>
      <c r="AQ474" t="n">
        <v>0</v>
      </c>
      <c r="AR474" t="inlineStr">
        <is>
          <t>No</t>
        </is>
      </c>
      <c r="AS474" t="inlineStr">
        <is>
          <t>Yes</t>
        </is>
      </c>
      <c r="AT474">
        <f>HYPERLINK("http://catalog.hathitrust.org/Record/007971065","HathiTrust Record")</f>
        <v/>
      </c>
      <c r="AU474">
        <f>HYPERLINK("https://creighton-primo.hosted.exlibrisgroup.com/primo-explore/search?tab=default_tab&amp;search_scope=EVERYTHING&amp;vid=01CRU&amp;lang=en_US&amp;offset=0&amp;query=any,contains,991004607769702656","Catalog Record")</f>
        <v/>
      </c>
      <c r="AV474">
        <f>HYPERLINK("http://www.worldcat.org/oclc/4195717","WorldCat Record")</f>
        <v/>
      </c>
      <c r="AW474" t="inlineStr">
        <is>
          <t>10792688445:spa</t>
        </is>
      </c>
      <c r="AX474" t="inlineStr">
        <is>
          <t>4195717</t>
        </is>
      </c>
      <c r="AY474" t="inlineStr">
        <is>
          <t>991004607769702656</t>
        </is>
      </c>
      <c r="AZ474" t="inlineStr">
        <is>
          <t>991004607769702656</t>
        </is>
      </c>
      <c r="BA474" t="inlineStr">
        <is>
          <t>2260951570002656</t>
        </is>
      </c>
      <c r="BB474" t="inlineStr">
        <is>
          <t>BOOK</t>
        </is>
      </c>
      <c r="BE474" t="inlineStr">
        <is>
          <t>32285003328415</t>
        </is>
      </c>
      <c r="BF474" t="inlineStr">
        <is>
          <t>893241641</t>
        </is>
      </c>
    </row>
    <row r="475">
      <c r="A475" t="inlineStr">
        <is>
          <t>No</t>
        </is>
      </c>
      <c r="B475" t="inlineStr">
        <is>
          <t>CURAL</t>
        </is>
      </c>
      <c r="C475" t="inlineStr">
        <is>
          <t>SHELVES</t>
        </is>
      </c>
      <c r="D475" t="inlineStr">
        <is>
          <t>PQ6085 .G64</t>
        </is>
      </c>
      <c r="E475" t="inlineStr">
        <is>
          <t>0                      PQ 6085000G  64</t>
        </is>
      </c>
      <c r="F475" t="inlineStr">
        <is>
          <t>La nueva poesía española.</t>
        </is>
      </c>
      <c r="H475" t="inlineStr">
        <is>
          <t>No</t>
        </is>
      </c>
      <c r="I475" t="inlineStr">
        <is>
          <t>1</t>
        </is>
      </c>
      <c r="J475" t="inlineStr">
        <is>
          <t>No</t>
        </is>
      </c>
      <c r="K475" t="inlineStr">
        <is>
          <t>No</t>
        </is>
      </c>
      <c r="L475" t="inlineStr">
        <is>
          <t>0</t>
        </is>
      </c>
      <c r="M475" t="inlineStr">
        <is>
          <t>González Muela, Joaquín.</t>
        </is>
      </c>
      <c r="N475" t="inlineStr">
        <is>
          <t>Madrid, Ediciones Alcalá [1973]</t>
        </is>
      </c>
      <c r="O475" t="inlineStr">
        <is>
          <t>1973</t>
        </is>
      </c>
      <c r="Q475" t="inlineStr">
        <is>
          <t>spa</t>
        </is>
      </c>
      <c r="R475" t="inlineStr">
        <is>
          <t xml:space="preserve">sp </t>
        </is>
      </c>
      <c r="S475" t="inlineStr">
        <is>
          <t>Colección Límina, no. 1</t>
        </is>
      </c>
      <c r="T475" t="inlineStr">
        <is>
          <t xml:space="preserve">PQ </t>
        </is>
      </c>
      <c r="U475" t="n">
        <v>3</v>
      </c>
      <c r="V475" t="n">
        <v>3</v>
      </c>
      <c r="W475" t="inlineStr">
        <is>
          <t>1998-09-14</t>
        </is>
      </c>
      <c r="X475" t="inlineStr">
        <is>
          <t>1998-09-14</t>
        </is>
      </c>
      <c r="Y475" t="inlineStr">
        <is>
          <t>1997-06-26</t>
        </is>
      </c>
      <c r="Z475" t="inlineStr">
        <is>
          <t>1997-06-26</t>
        </is>
      </c>
      <c r="AA475" t="n">
        <v>175</v>
      </c>
      <c r="AB475" t="n">
        <v>136</v>
      </c>
      <c r="AC475" t="n">
        <v>138</v>
      </c>
      <c r="AD475" t="n">
        <v>2</v>
      </c>
      <c r="AE475" t="n">
        <v>2</v>
      </c>
      <c r="AF475" t="n">
        <v>6</v>
      </c>
      <c r="AG475" t="n">
        <v>6</v>
      </c>
      <c r="AH475" t="n">
        <v>0</v>
      </c>
      <c r="AI475" t="n">
        <v>0</v>
      </c>
      <c r="AJ475" t="n">
        <v>3</v>
      </c>
      <c r="AK475" t="n">
        <v>3</v>
      </c>
      <c r="AL475" t="n">
        <v>3</v>
      </c>
      <c r="AM475" t="n">
        <v>3</v>
      </c>
      <c r="AN475" t="n">
        <v>1</v>
      </c>
      <c r="AO475" t="n">
        <v>1</v>
      </c>
      <c r="AP475" t="n">
        <v>0</v>
      </c>
      <c r="AQ475" t="n">
        <v>0</v>
      </c>
      <c r="AR475" t="inlineStr">
        <is>
          <t>No</t>
        </is>
      </c>
      <c r="AS475" t="inlineStr">
        <is>
          <t>Yes</t>
        </is>
      </c>
      <c r="AT475">
        <f>HYPERLINK("http://catalog.hathitrust.org/Record/006681874","HathiTrust Record")</f>
        <v/>
      </c>
      <c r="AU475">
        <f>HYPERLINK("https://creighton-primo.hosted.exlibrisgroup.com/primo-explore/search?tab=default_tab&amp;search_scope=EVERYTHING&amp;vid=01CRU&amp;lang=en_US&amp;offset=0&amp;query=any,contains,991003356689702656","Catalog Record")</f>
        <v/>
      </c>
      <c r="AV475">
        <f>HYPERLINK("http://www.worldcat.org/oclc/890521","WorldCat Record")</f>
        <v/>
      </c>
      <c r="AW475" t="inlineStr">
        <is>
          <t>422911251:spa</t>
        </is>
      </c>
      <c r="AX475" t="inlineStr">
        <is>
          <t>890521</t>
        </is>
      </c>
      <c r="AY475" t="inlineStr">
        <is>
          <t>991003356689702656</t>
        </is>
      </c>
      <c r="AZ475" t="inlineStr">
        <is>
          <t>991003356689702656</t>
        </is>
      </c>
      <c r="BA475" t="inlineStr">
        <is>
          <t>2262351500002656</t>
        </is>
      </c>
      <c r="BB475" t="inlineStr">
        <is>
          <t>BOOK</t>
        </is>
      </c>
      <c r="BD475" t="inlineStr">
        <is>
          <t>9788470080531</t>
        </is>
      </c>
      <c r="BE475" t="inlineStr">
        <is>
          <t>32285002516556</t>
        </is>
      </c>
      <c r="BF475" t="inlineStr">
        <is>
          <t>893721918</t>
        </is>
      </c>
    </row>
    <row r="476">
      <c r="A476" t="inlineStr">
        <is>
          <t>No</t>
        </is>
      </c>
      <c r="B476" t="inlineStr">
        <is>
          <t>CURAL</t>
        </is>
      </c>
      <c r="C476" t="inlineStr">
        <is>
          <t>SHELVES</t>
        </is>
      </c>
      <c r="D476" t="inlineStr">
        <is>
          <t>PQ6085 .L37</t>
        </is>
      </c>
      <c r="E476" t="inlineStr">
        <is>
          <t>0                      PQ 6085000L  37</t>
        </is>
      </c>
      <c r="F476" t="inlineStr">
        <is>
          <t>El compromiso en la poesía española del siglo XX [por] J. Lechner.</t>
        </is>
      </c>
      <c r="G476" t="inlineStr">
        <is>
          <t>V. 1 PT. 2</t>
        </is>
      </c>
      <c r="H476" t="inlineStr">
        <is>
          <t>Yes</t>
        </is>
      </c>
      <c r="I476" t="inlineStr">
        <is>
          <t>1</t>
        </is>
      </c>
      <c r="J476" t="inlineStr">
        <is>
          <t>No</t>
        </is>
      </c>
      <c r="K476" t="inlineStr">
        <is>
          <t>No</t>
        </is>
      </c>
      <c r="L476" t="inlineStr">
        <is>
          <t>0</t>
        </is>
      </c>
      <c r="M476" t="inlineStr">
        <is>
          <t>Lechner, Johannes.</t>
        </is>
      </c>
      <c r="N476" t="inlineStr">
        <is>
          <t>[Leiden] Universitaire Pers Leiden, 1968-</t>
        </is>
      </c>
      <c r="O476" t="inlineStr">
        <is>
          <t>1968</t>
        </is>
      </c>
      <c r="Q476" t="inlineStr">
        <is>
          <t>spa</t>
        </is>
      </c>
      <c r="R476" t="inlineStr">
        <is>
          <t xml:space="preserve">xx </t>
        </is>
      </c>
      <c r="S476" t="inlineStr">
        <is>
          <t>Series de publicaciones románicas de la Universidad de Leiden, t. 15</t>
        </is>
      </c>
      <c r="T476" t="inlineStr">
        <is>
          <t xml:space="preserve">PQ </t>
        </is>
      </c>
      <c r="U476" t="n">
        <v>2</v>
      </c>
      <c r="V476" t="n">
        <v>4</v>
      </c>
      <c r="W476" t="inlineStr">
        <is>
          <t>1998-09-14</t>
        </is>
      </c>
      <c r="X476" t="inlineStr">
        <is>
          <t>1998-09-14</t>
        </is>
      </c>
      <c r="Y476" t="inlineStr">
        <is>
          <t>1997-06-26</t>
        </is>
      </c>
      <c r="Z476" t="inlineStr">
        <is>
          <t>1997-06-26</t>
        </is>
      </c>
      <c r="AA476" t="n">
        <v>195</v>
      </c>
      <c r="AB476" t="n">
        <v>148</v>
      </c>
      <c r="AC476" t="n">
        <v>154</v>
      </c>
      <c r="AD476" t="n">
        <v>1</v>
      </c>
      <c r="AE476" t="n">
        <v>1</v>
      </c>
      <c r="AF476" t="n">
        <v>6</v>
      </c>
      <c r="AG476" t="n">
        <v>6</v>
      </c>
      <c r="AH476" t="n">
        <v>3</v>
      </c>
      <c r="AI476" t="n">
        <v>3</v>
      </c>
      <c r="AJ476" t="n">
        <v>3</v>
      </c>
      <c r="AK476" t="n">
        <v>3</v>
      </c>
      <c r="AL476" t="n">
        <v>4</v>
      </c>
      <c r="AM476" t="n">
        <v>4</v>
      </c>
      <c r="AN476" t="n">
        <v>0</v>
      </c>
      <c r="AO476" t="n">
        <v>0</v>
      </c>
      <c r="AP476" t="n">
        <v>0</v>
      </c>
      <c r="AQ476" t="n">
        <v>0</v>
      </c>
      <c r="AR476" t="inlineStr">
        <is>
          <t>No</t>
        </is>
      </c>
      <c r="AS476" t="inlineStr">
        <is>
          <t>Yes</t>
        </is>
      </c>
      <c r="AT476">
        <f>HYPERLINK("http://catalog.hathitrust.org/Record/000159281","HathiTrust Record")</f>
        <v/>
      </c>
      <c r="AU476">
        <f>HYPERLINK("https://creighton-primo.hosted.exlibrisgroup.com/primo-explore/search?tab=default_tab&amp;search_scope=EVERYTHING&amp;vid=01CRU&amp;lang=en_US&amp;offset=0&amp;query=any,contains,991003358489702656","Catalog Record")</f>
        <v/>
      </c>
      <c r="AV476">
        <f>HYPERLINK("http://www.worldcat.org/oclc/893369","WorldCat Record")</f>
        <v/>
      </c>
      <c r="AW476" t="inlineStr">
        <is>
          <t>10568413747:spa</t>
        </is>
      </c>
      <c r="AX476" t="inlineStr">
        <is>
          <t>893369</t>
        </is>
      </c>
      <c r="AY476" t="inlineStr">
        <is>
          <t>991003358489702656</t>
        </is>
      </c>
      <c r="AZ476" t="inlineStr">
        <is>
          <t>991003358489702656</t>
        </is>
      </c>
      <c r="BA476" t="inlineStr">
        <is>
          <t>2259830930002656</t>
        </is>
      </c>
      <c r="BB476" t="inlineStr">
        <is>
          <t>BOOK</t>
        </is>
      </c>
      <c r="BE476" t="inlineStr">
        <is>
          <t>32285002516580</t>
        </is>
      </c>
      <c r="BF476" t="inlineStr">
        <is>
          <t>893598521</t>
        </is>
      </c>
    </row>
    <row r="477">
      <c r="A477" t="inlineStr">
        <is>
          <t>No</t>
        </is>
      </c>
      <c r="B477" t="inlineStr">
        <is>
          <t>CURAL</t>
        </is>
      </c>
      <c r="C477" t="inlineStr">
        <is>
          <t>SHELVES</t>
        </is>
      </c>
      <c r="D477" t="inlineStr">
        <is>
          <t>PQ6085 .L37</t>
        </is>
      </c>
      <c r="E477" t="inlineStr">
        <is>
          <t>0                      PQ 6085000L  37</t>
        </is>
      </c>
      <c r="F477" t="inlineStr">
        <is>
          <t>El compromiso en la poesía española del siglo XX [por] J. Lechner.</t>
        </is>
      </c>
      <c r="G477" t="inlineStr">
        <is>
          <t>V. 1 PT. 1</t>
        </is>
      </c>
      <c r="H477" t="inlineStr">
        <is>
          <t>Yes</t>
        </is>
      </c>
      <c r="I477" t="inlineStr">
        <is>
          <t>1</t>
        </is>
      </c>
      <c r="J477" t="inlineStr">
        <is>
          <t>No</t>
        </is>
      </c>
      <c r="K477" t="inlineStr">
        <is>
          <t>No</t>
        </is>
      </c>
      <c r="L477" t="inlineStr">
        <is>
          <t>0</t>
        </is>
      </c>
      <c r="M477" t="inlineStr">
        <is>
          <t>Lechner, Johannes.</t>
        </is>
      </c>
      <c r="N477" t="inlineStr">
        <is>
          <t>[Leiden] Universitaire Pers Leiden, 1968-</t>
        </is>
      </c>
      <c r="O477" t="inlineStr">
        <is>
          <t>1968</t>
        </is>
      </c>
      <c r="Q477" t="inlineStr">
        <is>
          <t>spa</t>
        </is>
      </c>
      <c r="R477" t="inlineStr">
        <is>
          <t xml:space="preserve">xx </t>
        </is>
      </c>
      <c r="S477" t="inlineStr">
        <is>
          <t>Series de publicaciones románicas de la Universidad de Leiden, t. 15</t>
        </is>
      </c>
      <c r="T477" t="inlineStr">
        <is>
          <t xml:space="preserve">PQ </t>
        </is>
      </c>
      <c r="U477" t="n">
        <v>2</v>
      </c>
      <c r="V477" t="n">
        <v>4</v>
      </c>
      <c r="W477" t="inlineStr">
        <is>
          <t>1998-09-14</t>
        </is>
      </c>
      <c r="X477" t="inlineStr">
        <is>
          <t>1998-09-14</t>
        </is>
      </c>
      <c r="Y477" t="inlineStr">
        <is>
          <t>1997-06-26</t>
        </is>
      </c>
      <c r="Z477" t="inlineStr">
        <is>
          <t>1997-06-26</t>
        </is>
      </c>
      <c r="AA477" t="n">
        <v>195</v>
      </c>
      <c r="AB477" t="n">
        <v>148</v>
      </c>
      <c r="AC477" t="n">
        <v>154</v>
      </c>
      <c r="AD477" t="n">
        <v>1</v>
      </c>
      <c r="AE477" t="n">
        <v>1</v>
      </c>
      <c r="AF477" t="n">
        <v>6</v>
      </c>
      <c r="AG477" t="n">
        <v>6</v>
      </c>
      <c r="AH477" t="n">
        <v>3</v>
      </c>
      <c r="AI477" t="n">
        <v>3</v>
      </c>
      <c r="AJ477" t="n">
        <v>3</v>
      </c>
      <c r="AK477" t="n">
        <v>3</v>
      </c>
      <c r="AL477" t="n">
        <v>4</v>
      </c>
      <c r="AM477" t="n">
        <v>4</v>
      </c>
      <c r="AN477" t="n">
        <v>0</v>
      </c>
      <c r="AO477" t="n">
        <v>0</v>
      </c>
      <c r="AP477" t="n">
        <v>0</v>
      </c>
      <c r="AQ477" t="n">
        <v>0</v>
      </c>
      <c r="AR477" t="inlineStr">
        <is>
          <t>No</t>
        </is>
      </c>
      <c r="AS477" t="inlineStr">
        <is>
          <t>Yes</t>
        </is>
      </c>
      <c r="AT477">
        <f>HYPERLINK("http://catalog.hathitrust.org/Record/000159281","HathiTrust Record")</f>
        <v/>
      </c>
      <c r="AU477">
        <f>HYPERLINK("https://creighton-primo.hosted.exlibrisgroup.com/primo-explore/search?tab=default_tab&amp;search_scope=EVERYTHING&amp;vid=01CRU&amp;lang=en_US&amp;offset=0&amp;query=any,contains,991003358489702656","Catalog Record")</f>
        <v/>
      </c>
      <c r="AV477">
        <f>HYPERLINK("http://www.worldcat.org/oclc/893369","WorldCat Record")</f>
        <v/>
      </c>
      <c r="AW477" t="inlineStr">
        <is>
          <t>10568413747:spa</t>
        </is>
      </c>
      <c r="AX477" t="inlineStr">
        <is>
          <t>893369</t>
        </is>
      </c>
      <c r="AY477" t="inlineStr">
        <is>
          <t>991003358489702656</t>
        </is>
      </c>
      <c r="AZ477" t="inlineStr">
        <is>
          <t>991003358489702656</t>
        </is>
      </c>
      <c r="BA477" t="inlineStr">
        <is>
          <t>2259830930002656</t>
        </is>
      </c>
      <c r="BB477" t="inlineStr">
        <is>
          <t>BOOK</t>
        </is>
      </c>
      <c r="BE477" t="inlineStr">
        <is>
          <t>32285002516572</t>
        </is>
      </c>
      <c r="BF477" t="inlineStr">
        <is>
          <t>893617279</t>
        </is>
      </c>
    </row>
    <row r="478">
      <c r="A478" t="inlineStr">
        <is>
          <t>No</t>
        </is>
      </c>
      <c r="B478" t="inlineStr">
        <is>
          <t>CURAL</t>
        </is>
      </c>
      <c r="C478" t="inlineStr">
        <is>
          <t>SHELVES</t>
        </is>
      </c>
      <c r="D478" t="inlineStr">
        <is>
          <t>PQ6085 .M377 1996</t>
        </is>
      </c>
      <c r="E478" t="inlineStr">
        <is>
          <t>0                      PQ 6085000M  377         1996</t>
        </is>
      </c>
      <c r="F478" t="inlineStr">
        <is>
          <t>El humor en la poesi'a espan~ola de vanguardia / Rosa Ma. Marti'n Casamitjana.</t>
        </is>
      </c>
      <c r="H478" t="inlineStr">
        <is>
          <t>No</t>
        </is>
      </c>
      <c r="I478" t="inlineStr">
        <is>
          <t>1</t>
        </is>
      </c>
      <c r="J478" t="inlineStr">
        <is>
          <t>No</t>
        </is>
      </c>
      <c r="K478" t="inlineStr">
        <is>
          <t>No</t>
        </is>
      </c>
      <c r="L478" t="inlineStr">
        <is>
          <t>0</t>
        </is>
      </c>
      <c r="M478" t="inlineStr">
        <is>
          <t>Martain Casamitjana, Rosa Ma. (Rosa Maraia)</t>
        </is>
      </c>
      <c r="N478" t="inlineStr">
        <is>
          <t>Madrid : Gredos, c1996.</t>
        </is>
      </c>
      <c r="O478" t="inlineStr">
        <is>
          <t>1996</t>
        </is>
      </c>
      <c r="Q478" t="inlineStr">
        <is>
          <t>spa</t>
        </is>
      </c>
      <c r="R478" t="inlineStr">
        <is>
          <t xml:space="preserve">sp </t>
        </is>
      </c>
      <c r="S478" t="inlineStr">
        <is>
          <t>Biblioteca romaanica hispaanica. II, Estudios y ensayos ; 395</t>
        </is>
      </c>
      <c r="T478" t="inlineStr">
        <is>
          <t xml:space="preserve">PQ </t>
        </is>
      </c>
      <c r="U478" t="n">
        <v>1</v>
      </c>
      <c r="V478" t="n">
        <v>1</v>
      </c>
      <c r="W478" t="inlineStr">
        <is>
          <t>2004-06-10</t>
        </is>
      </c>
      <c r="X478" t="inlineStr">
        <is>
          <t>2004-06-10</t>
        </is>
      </c>
      <c r="Y478" t="inlineStr">
        <is>
          <t>2004-06-10</t>
        </is>
      </c>
      <c r="Z478" t="inlineStr">
        <is>
          <t>2004-06-10</t>
        </is>
      </c>
      <c r="AA478" t="n">
        <v>99</v>
      </c>
      <c r="AB478" t="n">
        <v>73</v>
      </c>
      <c r="AC478" t="n">
        <v>73</v>
      </c>
      <c r="AD478" t="n">
        <v>1</v>
      </c>
      <c r="AE478" t="n">
        <v>1</v>
      </c>
      <c r="AF478" t="n">
        <v>3</v>
      </c>
      <c r="AG478" t="n">
        <v>3</v>
      </c>
      <c r="AH478" t="n">
        <v>1</v>
      </c>
      <c r="AI478" t="n">
        <v>1</v>
      </c>
      <c r="AJ478" t="n">
        <v>2</v>
      </c>
      <c r="AK478" t="n">
        <v>2</v>
      </c>
      <c r="AL478" t="n">
        <v>2</v>
      </c>
      <c r="AM478" t="n">
        <v>2</v>
      </c>
      <c r="AN478" t="n">
        <v>0</v>
      </c>
      <c r="AO478" t="n">
        <v>0</v>
      </c>
      <c r="AP478" t="n">
        <v>0</v>
      </c>
      <c r="AQ478" t="n">
        <v>0</v>
      </c>
      <c r="AR478" t="inlineStr">
        <is>
          <t>No</t>
        </is>
      </c>
      <c r="AS478" t="inlineStr">
        <is>
          <t>No</t>
        </is>
      </c>
      <c r="AU478">
        <f>HYPERLINK("https://creighton-primo.hosted.exlibrisgroup.com/primo-explore/search?tab=default_tab&amp;search_scope=EVERYTHING&amp;vid=01CRU&amp;lang=en_US&amp;offset=0&amp;query=any,contains,991004270869702656","Catalog Record")</f>
        <v/>
      </c>
      <c r="AV478">
        <f>HYPERLINK("http://www.worldcat.org/oclc/56517503","WorldCat Record")</f>
        <v/>
      </c>
      <c r="AW478" t="inlineStr">
        <is>
          <t>349239088:spa</t>
        </is>
      </c>
      <c r="AX478" t="inlineStr">
        <is>
          <t>56517503</t>
        </is>
      </c>
      <c r="AY478" t="inlineStr">
        <is>
          <t>991004270869702656</t>
        </is>
      </c>
      <c r="AZ478" t="inlineStr">
        <is>
          <t>991004270869702656</t>
        </is>
      </c>
      <c r="BA478" t="inlineStr">
        <is>
          <t>2263417740002656</t>
        </is>
      </c>
      <c r="BB478" t="inlineStr">
        <is>
          <t>BOOK</t>
        </is>
      </c>
      <c r="BD478" t="inlineStr">
        <is>
          <t>9788424918026</t>
        </is>
      </c>
      <c r="BE478" t="inlineStr">
        <is>
          <t>32285004909312</t>
        </is>
      </c>
      <c r="BF478" t="inlineStr">
        <is>
          <t>893794675</t>
        </is>
      </c>
    </row>
    <row r="479">
      <c r="A479" t="inlineStr">
        <is>
          <t>No</t>
        </is>
      </c>
      <c r="B479" t="inlineStr">
        <is>
          <t>CURAL</t>
        </is>
      </c>
      <c r="C479" t="inlineStr">
        <is>
          <t>SHELVES</t>
        </is>
      </c>
      <c r="D479" t="inlineStr">
        <is>
          <t>PQ6085 .M6418 1988</t>
        </is>
      </c>
      <c r="E479" t="inlineStr">
        <is>
          <t>0                      PQ 6085000M  6418        1988</t>
        </is>
      </c>
      <c r="F479" t="inlineStr">
        <is>
          <t>Una generacio'n de poetas espan~oles (1920-1936) / C.B. Morris ; versio'n espan~ola de A.R. Bocanegra.</t>
        </is>
      </c>
      <c r="H479" t="inlineStr">
        <is>
          <t>No</t>
        </is>
      </c>
      <c r="I479" t="inlineStr">
        <is>
          <t>1</t>
        </is>
      </c>
      <c r="J479" t="inlineStr">
        <is>
          <t>No</t>
        </is>
      </c>
      <c r="K479" t="inlineStr">
        <is>
          <t>No</t>
        </is>
      </c>
      <c r="L479" t="inlineStr">
        <is>
          <t>0</t>
        </is>
      </c>
      <c r="M479" t="inlineStr">
        <is>
          <t>Morris, C. B. (Cyril Brian)</t>
        </is>
      </c>
      <c r="N479" t="inlineStr">
        <is>
          <t>Madrid : Editorial Gredos, c1988.</t>
        </is>
      </c>
      <c r="O479" t="inlineStr">
        <is>
          <t>1988</t>
        </is>
      </c>
      <c r="Q479" t="inlineStr">
        <is>
          <t>spa</t>
        </is>
      </c>
      <c r="R479" t="inlineStr">
        <is>
          <t xml:space="preserve">sp </t>
        </is>
      </c>
      <c r="S479" t="inlineStr">
        <is>
          <t>Biblioteca romaanica hispaanica. II, Estudios y ensayos ; 357</t>
        </is>
      </c>
      <c r="T479" t="inlineStr">
        <is>
          <t xml:space="preserve">PQ </t>
        </is>
      </c>
      <c r="U479" t="n">
        <v>2</v>
      </c>
      <c r="V479" t="n">
        <v>2</v>
      </c>
      <c r="W479" t="inlineStr">
        <is>
          <t>2004-06-10</t>
        </is>
      </c>
      <c r="X479" t="inlineStr">
        <is>
          <t>2004-06-10</t>
        </is>
      </c>
      <c r="Y479" t="inlineStr">
        <is>
          <t>2004-06-10</t>
        </is>
      </c>
      <c r="Z479" t="inlineStr">
        <is>
          <t>2004-06-10</t>
        </is>
      </c>
      <c r="AA479" t="n">
        <v>122</v>
      </c>
      <c r="AB479" t="n">
        <v>95</v>
      </c>
      <c r="AC479" t="n">
        <v>102</v>
      </c>
      <c r="AD479" t="n">
        <v>2</v>
      </c>
      <c r="AE479" t="n">
        <v>2</v>
      </c>
      <c r="AF479" t="n">
        <v>7</v>
      </c>
      <c r="AG479" t="n">
        <v>7</v>
      </c>
      <c r="AH479" t="n">
        <v>3</v>
      </c>
      <c r="AI479" t="n">
        <v>3</v>
      </c>
      <c r="AJ479" t="n">
        <v>3</v>
      </c>
      <c r="AK479" t="n">
        <v>3</v>
      </c>
      <c r="AL479" t="n">
        <v>3</v>
      </c>
      <c r="AM479" t="n">
        <v>3</v>
      </c>
      <c r="AN479" t="n">
        <v>1</v>
      </c>
      <c r="AO479" t="n">
        <v>1</v>
      </c>
      <c r="AP479" t="n">
        <v>0</v>
      </c>
      <c r="AQ479" t="n">
        <v>0</v>
      </c>
      <c r="AR479" t="inlineStr">
        <is>
          <t>No</t>
        </is>
      </c>
      <c r="AS479" t="inlineStr">
        <is>
          <t>Yes</t>
        </is>
      </c>
      <c r="AT479">
        <f>HYPERLINK("http://catalog.hathitrust.org/Record/000927406","HathiTrust Record")</f>
        <v/>
      </c>
      <c r="AU479">
        <f>HYPERLINK("https://creighton-primo.hosted.exlibrisgroup.com/primo-explore/search?tab=default_tab&amp;search_scope=EVERYTHING&amp;vid=01CRU&amp;lang=en_US&amp;offset=0&amp;query=any,contains,991004270959702656","Catalog Record")</f>
        <v/>
      </c>
      <c r="AV479">
        <f>HYPERLINK("http://www.worldcat.org/oclc/17964543","WorldCat Record")</f>
        <v/>
      </c>
      <c r="AW479" t="inlineStr">
        <is>
          <t>1144785:spa</t>
        </is>
      </c>
      <c r="AX479" t="inlineStr">
        <is>
          <t>17964543</t>
        </is>
      </c>
      <c r="AY479" t="inlineStr">
        <is>
          <t>991004270959702656</t>
        </is>
      </c>
      <c r="AZ479" t="inlineStr">
        <is>
          <t>991004270959702656</t>
        </is>
      </c>
      <c r="BA479" t="inlineStr">
        <is>
          <t>2269865130002656</t>
        </is>
      </c>
      <c r="BB479" t="inlineStr">
        <is>
          <t>BOOK</t>
        </is>
      </c>
      <c r="BD479" t="inlineStr">
        <is>
          <t>9788424912598</t>
        </is>
      </c>
      <c r="BE479" t="inlineStr">
        <is>
          <t>32285004909320</t>
        </is>
      </c>
      <c r="BF479" t="inlineStr">
        <is>
          <t>893599640</t>
        </is>
      </c>
    </row>
    <row r="480">
      <c r="A480" t="inlineStr">
        <is>
          <t>No</t>
        </is>
      </c>
      <c r="B480" t="inlineStr">
        <is>
          <t>CURAL</t>
        </is>
      </c>
      <c r="C480" t="inlineStr">
        <is>
          <t>SHELVES</t>
        </is>
      </c>
      <c r="D480" t="inlineStr">
        <is>
          <t>PQ6085 .P28 1988</t>
        </is>
      </c>
      <c r="E480" t="inlineStr">
        <is>
          <t>0                      PQ 6085000P  28          1988</t>
        </is>
      </c>
      <c r="F480" t="inlineStr">
        <is>
          <t>La poesaia en el siglo XX (desde 1939) / Pilar Palomo.</t>
        </is>
      </c>
      <c r="H480" t="inlineStr">
        <is>
          <t>No</t>
        </is>
      </c>
      <c r="I480" t="inlineStr">
        <is>
          <t>1</t>
        </is>
      </c>
      <c r="J480" t="inlineStr">
        <is>
          <t>No</t>
        </is>
      </c>
      <c r="K480" t="inlineStr">
        <is>
          <t>No</t>
        </is>
      </c>
      <c r="L480" t="inlineStr">
        <is>
          <t>0</t>
        </is>
      </c>
      <c r="M480" t="inlineStr">
        <is>
          <t>Palomo, Maraia del Pilar.</t>
        </is>
      </c>
      <c r="N480" t="inlineStr">
        <is>
          <t>Madrid : Taurus, c1988.</t>
        </is>
      </c>
      <c r="O480" t="inlineStr">
        <is>
          <t>1988</t>
        </is>
      </c>
      <c r="Q480" t="inlineStr">
        <is>
          <t>spa</t>
        </is>
      </c>
      <c r="R480" t="inlineStr">
        <is>
          <t xml:space="preserve">sp </t>
        </is>
      </c>
      <c r="S480" t="inlineStr">
        <is>
          <t>Historia craitica de la literatura hispaanica ; 21</t>
        </is>
      </c>
      <c r="T480" t="inlineStr">
        <is>
          <t xml:space="preserve">PQ </t>
        </is>
      </c>
      <c r="U480" t="n">
        <v>1</v>
      </c>
      <c r="V480" t="n">
        <v>1</v>
      </c>
      <c r="W480" t="inlineStr">
        <is>
          <t>2004-08-04</t>
        </is>
      </c>
      <c r="X480" t="inlineStr">
        <is>
          <t>2004-08-04</t>
        </is>
      </c>
      <c r="Y480" t="inlineStr">
        <is>
          <t>2004-08-04</t>
        </is>
      </c>
      <c r="Z480" t="inlineStr">
        <is>
          <t>2004-08-04</t>
        </is>
      </c>
      <c r="AA480" t="n">
        <v>154</v>
      </c>
      <c r="AB480" t="n">
        <v>111</v>
      </c>
      <c r="AC480" t="n">
        <v>115</v>
      </c>
      <c r="AD480" t="n">
        <v>2</v>
      </c>
      <c r="AE480" t="n">
        <v>2</v>
      </c>
      <c r="AF480" t="n">
        <v>7</v>
      </c>
      <c r="AG480" t="n">
        <v>7</v>
      </c>
      <c r="AH480" t="n">
        <v>3</v>
      </c>
      <c r="AI480" t="n">
        <v>3</v>
      </c>
      <c r="AJ480" t="n">
        <v>4</v>
      </c>
      <c r="AK480" t="n">
        <v>4</v>
      </c>
      <c r="AL480" t="n">
        <v>1</v>
      </c>
      <c r="AM480" t="n">
        <v>1</v>
      </c>
      <c r="AN480" t="n">
        <v>1</v>
      </c>
      <c r="AO480" t="n">
        <v>1</v>
      </c>
      <c r="AP480" t="n">
        <v>0</v>
      </c>
      <c r="AQ480" t="n">
        <v>0</v>
      </c>
      <c r="AR480" t="inlineStr">
        <is>
          <t>No</t>
        </is>
      </c>
      <c r="AS480" t="inlineStr">
        <is>
          <t>Yes</t>
        </is>
      </c>
      <c r="AT480">
        <f>HYPERLINK("http://catalog.hathitrust.org/Record/001080846","HathiTrust Record")</f>
        <v/>
      </c>
      <c r="AU480">
        <f>HYPERLINK("https://creighton-primo.hosted.exlibrisgroup.com/primo-explore/search?tab=default_tab&amp;search_scope=EVERYTHING&amp;vid=01CRU&amp;lang=en_US&amp;offset=0&amp;query=any,contains,991004336309702656","Catalog Record")</f>
        <v/>
      </c>
      <c r="AV480">
        <f>HYPERLINK("http://www.worldcat.org/oclc/19069047","WorldCat Record")</f>
        <v/>
      </c>
      <c r="AW480" t="inlineStr">
        <is>
          <t>439388681:spa</t>
        </is>
      </c>
      <c r="AX480" t="inlineStr">
        <is>
          <t>19069047</t>
        </is>
      </c>
      <c r="AY480" t="inlineStr">
        <is>
          <t>991004336309702656</t>
        </is>
      </c>
      <c r="AZ480" t="inlineStr">
        <is>
          <t>991004336309702656</t>
        </is>
      </c>
      <c r="BA480" t="inlineStr">
        <is>
          <t>2255896840002656</t>
        </is>
      </c>
      <c r="BB480" t="inlineStr">
        <is>
          <t>BOOK</t>
        </is>
      </c>
      <c r="BD480" t="inlineStr">
        <is>
          <t>9788430625215</t>
        </is>
      </c>
      <c r="BE480" t="inlineStr">
        <is>
          <t>32285004928478</t>
        </is>
      </c>
      <c r="BF480" t="inlineStr">
        <is>
          <t>893263209</t>
        </is>
      </c>
    </row>
    <row r="481">
      <c r="A481" t="inlineStr">
        <is>
          <t>No</t>
        </is>
      </c>
      <c r="B481" t="inlineStr">
        <is>
          <t>CURAL</t>
        </is>
      </c>
      <c r="C481" t="inlineStr">
        <is>
          <t>SHELVES</t>
        </is>
      </c>
      <c r="D481" t="inlineStr">
        <is>
          <t>PQ6085 .P3 1985</t>
        </is>
      </c>
      <c r="E481" t="inlineStr">
        <is>
          <t>0                      PQ 6085000P  3           1985</t>
        </is>
      </c>
      <c r="F481" t="inlineStr">
        <is>
          <t>El verso libre hispaanico : oraigenes y corrientes / Isabel Paraaiso ; praologo de Rafael Lapesa.</t>
        </is>
      </c>
      <c r="H481" t="inlineStr">
        <is>
          <t>No</t>
        </is>
      </c>
      <c r="I481" t="inlineStr">
        <is>
          <t>1</t>
        </is>
      </c>
      <c r="J481" t="inlineStr">
        <is>
          <t>No</t>
        </is>
      </c>
      <c r="K481" t="inlineStr">
        <is>
          <t>No</t>
        </is>
      </c>
      <c r="L481" t="inlineStr">
        <is>
          <t>0</t>
        </is>
      </c>
      <c r="M481" t="inlineStr">
        <is>
          <t>Paraíso, Isabel, 1942-</t>
        </is>
      </c>
      <c r="N481" t="inlineStr">
        <is>
          <t>Madrid : Editorial Gredos, c1985.</t>
        </is>
      </c>
      <c r="O481" t="inlineStr">
        <is>
          <t>1985</t>
        </is>
      </c>
      <c r="Q481" t="inlineStr">
        <is>
          <t>spa</t>
        </is>
      </c>
      <c r="R481" t="inlineStr">
        <is>
          <t xml:space="preserve">sp </t>
        </is>
      </c>
      <c r="S481" t="inlineStr">
        <is>
          <t>Biblioteca romaanica hispaanica. II, Estudios y ensayos ; 339</t>
        </is>
      </c>
      <c r="T481" t="inlineStr">
        <is>
          <t xml:space="preserve">PQ </t>
        </is>
      </c>
      <c r="U481" t="n">
        <v>1</v>
      </c>
      <c r="V481" t="n">
        <v>1</v>
      </c>
      <c r="W481" t="inlineStr">
        <is>
          <t>2004-08-03</t>
        </is>
      </c>
      <c r="X481" t="inlineStr">
        <is>
          <t>2004-08-03</t>
        </is>
      </c>
      <c r="Y481" t="inlineStr">
        <is>
          <t>2004-08-03</t>
        </is>
      </c>
      <c r="Z481" t="inlineStr">
        <is>
          <t>2004-08-03</t>
        </is>
      </c>
      <c r="AA481" t="n">
        <v>175</v>
      </c>
      <c r="AB481" t="n">
        <v>125</v>
      </c>
      <c r="AC481" t="n">
        <v>128</v>
      </c>
      <c r="AD481" t="n">
        <v>2</v>
      </c>
      <c r="AE481" t="n">
        <v>2</v>
      </c>
      <c r="AF481" t="n">
        <v>9</v>
      </c>
      <c r="AG481" t="n">
        <v>9</v>
      </c>
      <c r="AH481" t="n">
        <v>2</v>
      </c>
      <c r="AI481" t="n">
        <v>2</v>
      </c>
      <c r="AJ481" t="n">
        <v>3</v>
      </c>
      <c r="AK481" t="n">
        <v>3</v>
      </c>
      <c r="AL481" t="n">
        <v>5</v>
      </c>
      <c r="AM481" t="n">
        <v>5</v>
      </c>
      <c r="AN481" t="n">
        <v>1</v>
      </c>
      <c r="AO481" t="n">
        <v>1</v>
      </c>
      <c r="AP481" t="n">
        <v>0</v>
      </c>
      <c r="AQ481" t="n">
        <v>0</v>
      </c>
      <c r="AR481" t="inlineStr">
        <is>
          <t>No</t>
        </is>
      </c>
      <c r="AS481" t="inlineStr">
        <is>
          <t>Yes</t>
        </is>
      </c>
      <c r="AT481">
        <f>HYPERLINK("http://catalog.hathitrust.org/Record/000377049","HathiTrust Record")</f>
        <v/>
      </c>
      <c r="AU481">
        <f>HYPERLINK("https://creighton-primo.hosted.exlibrisgroup.com/primo-explore/search?tab=default_tab&amp;search_scope=EVERYTHING&amp;vid=01CRU&amp;lang=en_US&amp;offset=0&amp;query=any,contains,991004335059702656","Catalog Record")</f>
        <v/>
      </c>
      <c r="AV481">
        <f>HYPERLINK("http://www.worldcat.org/oclc/12608609","WorldCat Record")</f>
        <v/>
      </c>
      <c r="AW481" t="inlineStr">
        <is>
          <t>429730086:spa</t>
        </is>
      </c>
      <c r="AX481" t="inlineStr">
        <is>
          <t>12608609</t>
        </is>
      </c>
      <c r="AY481" t="inlineStr">
        <is>
          <t>991004335059702656</t>
        </is>
      </c>
      <c r="AZ481" t="inlineStr">
        <is>
          <t>991004335059702656</t>
        </is>
      </c>
      <c r="BA481" t="inlineStr">
        <is>
          <t>2264855160002656</t>
        </is>
      </c>
      <c r="BB481" t="inlineStr">
        <is>
          <t>BOOK</t>
        </is>
      </c>
      <c r="BD481" t="inlineStr">
        <is>
          <t>9788424909888</t>
        </is>
      </c>
      <c r="BE481" t="inlineStr">
        <is>
          <t>32285004927587</t>
        </is>
      </c>
      <c r="BF481" t="inlineStr">
        <is>
          <t>893525968</t>
        </is>
      </c>
    </row>
    <row r="482">
      <c r="A482" t="inlineStr">
        <is>
          <t>No</t>
        </is>
      </c>
      <c r="B482" t="inlineStr">
        <is>
          <t>CURAL</t>
        </is>
      </c>
      <c r="C482" t="inlineStr">
        <is>
          <t>SHELVES</t>
        </is>
      </c>
      <c r="D482" t="inlineStr">
        <is>
          <t>PQ6085 .P64 1976</t>
        </is>
      </c>
      <c r="E482" t="inlineStr">
        <is>
          <t>0                      PQ 6085000P  64          1976</t>
        </is>
      </c>
      <c r="F482" t="inlineStr">
        <is>
          <t>Poetas en la España leal.</t>
        </is>
      </c>
      <c r="H482" t="inlineStr">
        <is>
          <t>No</t>
        </is>
      </c>
      <c r="I482" t="inlineStr">
        <is>
          <t>1</t>
        </is>
      </c>
      <c r="J482" t="inlineStr">
        <is>
          <t>No</t>
        </is>
      </c>
      <c r="K482" t="inlineStr">
        <is>
          <t>No</t>
        </is>
      </c>
      <c r="L482" t="inlineStr">
        <is>
          <t>0</t>
        </is>
      </c>
      <c r="N482" t="inlineStr">
        <is>
          <t>Madrid : Hispamerca, 1976.</t>
        </is>
      </c>
      <c r="O482" t="inlineStr">
        <is>
          <t>1976</t>
        </is>
      </c>
      <c r="Q482" t="inlineStr">
        <is>
          <t>spa</t>
        </is>
      </c>
      <c r="R482" t="inlineStr">
        <is>
          <t xml:space="preserve">sp </t>
        </is>
      </c>
      <c r="S482" t="inlineStr">
        <is>
          <t>Colección Cuatro vientos ; 1</t>
        </is>
      </c>
      <c r="T482" t="inlineStr">
        <is>
          <t xml:space="preserve">PQ </t>
        </is>
      </c>
      <c r="U482" t="n">
        <v>1</v>
      </c>
      <c r="V482" t="n">
        <v>1</v>
      </c>
      <c r="W482" t="inlineStr">
        <is>
          <t>1998-09-14</t>
        </is>
      </c>
      <c r="X482" t="inlineStr">
        <is>
          <t>1998-09-14</t>
        </is>
      </c>
      <c r="Y482" t="inlineStr">
        <is>
          <t>1991-05-22</t>
        </is>
      </c>
      <c r="Z482" t="inlineStr">
        <is>
          <t>1991-05-22</t>
        </is>
      </c>
      <c r="AA482" t="n">
        <v>47</v>
      </c>
      <c r="AB482" t="n">
        <v>39</v>
      </c>
      <c r="AC482" t="n">
        <v>49</v>
      </c>
      <c r="AD482" t="n">
        <v>1</v>
      </c>
      <c r="AE482" t="n">
        <v>1</v>
      </c>
      <c r="AF482" t="n">
        <v>1</v>
      </c>
      <c r="AG482" t="n">
        <v>1</v>
      </c>
      <c r="AH482" t="n">
        <v>0</v>
      </c>
      <c r="AI482" t="n">
        <v>0</v>
      </c>
      <c r="AJ482" t="n">
        <v>0</v>
      </c>
      <c r="AK482" t="n">
        <v>0</v>
      </c>
      <c r="AL482" t="n">
        <v>1</v>
      </c>
      <c r="AM482" t="n">
        <v>1</v>
      </c>
      <c r="AN482" t="n">
        <v>0</v>
      </c>
      <c r="AO482" t="n">
        <v>0</v>
      </c>
      <c r="AP482" t="n">
        <v>0</v>
      </c>
      <c r="AQ482" t="n">
        <v>0</v>
      </c>
      <c r="AR482" t="inlineStr">
        <is>
          <t>No</t>
        </is>
      </c>
      <c r="AS482" t="inlineStr">
        <is>
          <t>Yes</t>
        </is>
      </c>
      <c r="AT482">
        <f>HYPERLINK("http://catalog.hathitrust.org/Record/000752773","HathiTrust Record")</f>
        <v/>
      </c>
      <c r="AU482">
        <f>HYPERLINK("https://creighton-primo.hosted.exlibrisgroup.com/primo-explore/search?tab=default_tab&amp;search_scope=EVERYTHING&amp;vid=01CRU&amp;lang=en_US&amp;offset=0&amp;query=any,contains,991004436759702656","Catalog Record")</f>
        <v/>
      </c>
      <c r="AV482">
        <f>HYPERLINK("http://www.worldcat.org/oclc/3446543","WorldCat Record")</f>
        <v/>
      </c>
      <c r="AW482" t="inlineStr">
        <is>
          <t>479954628:spa</t>
        </is>
      </c>
      <c r="AX482" t="inlineStr">
        <is>
          <t>3446543</t>
        </is>
      </c>
      <c r="AY482" t="inlineStr">
        <is>
          <t>991004436759702656</t>
        </is>
      </c>
      <c r="AZ482" t="inlineStr">
        <is>
          <t>991004436759702656</t>
        </is>
      </c>
      <c r="BA482" t="inlineStr">
        <is>
          <t>2266972810002656</t>
        </is>
      </c>
      <c r="BB482" t="inlineStr">
        <is>
          <t>BOOK</t>
        </is>
      </c>
      <c r="BD482" t="inlineStr">
        <is>
          <t>9788440099686</t>
        </is>
      </c>
      <c r="BE482" t="inlineStr">
        <is>
          <t>32285000598721</t>
        </is>
      </c>
      <c r="BF482" t="inlineStr">
        <is>
          <t>893712594</t>
        </is>
      </c>
    </row>
    <row r="483">
      <c r="A483" t="inlineStr">
        <is>
          <t>No</t>
        </is>
      </c>
      <c r="B483" t="inlineStr">
        <is>
          <t>CURAL</t>
        </is>
      </c>
      <c r="C483" t="inlineStr">
        <is>
          <t>SHELVES</t>
        </is>
      </c>
      <c r="D483" t="inlineStr">
        <is>
          <t>PQ6085 .V47</t>
        </is>
      </c>
      <c r="E483" t="inlineStr">
        <is>
          <t>0                      PQ 6085000V  47</t>
        </is>
      </c>
      <c r="F483" t="inlineStr">
        <is>
          <t>El ultraísmo; estudios sobre movimientos poéticos de vanguardia en España.</t>
        </is>
      </c>
      <c r="H483" t="inlineStr">
        <is>
          <t>No</t>
        </is>
      </c>
      <c r="I483" t="inlineStr">
        <is>
          <t>1</t>
        </is>
      </c>
      <c r="J483" t="inlineStr">
        <is>
          <t>No</t>
        </is>
      </c>
      <c r="K483" t="inlineStr">
        <is>
          <t>No</t>
        </is>
      </c>
      <c r="L483" t="inlineStr">
        <is>
          <t>0</t>
        </is>
      </c>
      <c r="M483" t="inlineStr">
        <is>
          <t>Videla, Gloria.</t>
        </is>
      </c>
      <c r="N483" t="inlineStr">
        <is>
          <t>Madrid, Editorial Gredos [1963]</t>
        </is>
      </c>
      <c r="O483" t="inlineStr">
        <is>
          <t>1963</t>
        </is>
      </c>
      <c r="Q483" t="inlineStr">
        <is>
          <t>spa</t>
        </is>
      </c>
      <c r="R483" t="inlineStr">
        <is>
          <t xml:space="preserve">sp </t>
        </is>
      </c>
      <c r="S483" t="inlineStr">
        <is>
          <t>Biblioteca románica hispánica. 2. Estudios y ensayos</t>
        </is>
      </c>
      <c r="T483" t="inlineStr">
        <is>
          <t xml:space="preserve">PQ </t>
        </is>
      </c>
      <c r="U483" t="n">
        <v>1</v>
      </c>
      <c r="V483" t="n">
        <v>1</v>
      </c>
      <c r="W483" t="inlineStr">
        <is>
          <t>1998-09-14</t>
        </is>
      </c>
      <c r="X483" t="inlineStr">
        <is>
          <t>1998-09-14</t>
        </is>
      </c>
      <c r="Y483" t="inlineStr">
        <is>
          <t>1997-06-26</t>
        </is>
      </c>
      <c r="Z483" t="inlineStr">
        <is>
          <t>1997-06-26</t>
        </is>
      </c>
      <c r="AA483" t="n">
        <v>408</v>
      </c>
      <c r="AB483" t="n">
        <v>347</v>
      </c>
      <c r="AC483" t="n">
        <v>448</v>
      </c>
      <c r="AD483" t="n">
        <v>3</v>
      </c>
      <c r="AE483" t="n">
        <v>5</v>
      </c>
      <c r="AF483" t="n">
        <v>24</v>
      </c>
      <c r="AG483" t="n">
        <v>28</v>
      </c>
      <c r="AH483" t="n">
        <v>10</v>
      </c>
      <c r="AI483" t="n">
        <v>11</v>
      </c>
      <c r="AJ483" t="n">
        <v>6</v>
      </c>
      <c r="AK483" t="n">
        <v>6</v>
      </c>
      <c r="AL483" t="n">
        <v>12</v>
      </c>
      <c r="AM483" t="n">
        <v>14</v>
      </c>
      <c r="AN483" t="n">
        <v>2</v>
      </c>
      <c r="AO483" t="n">
        <v>4</v>
      </c>
      <c r="AP483" t="n">
        <v>0</v>
      </c>
      <c r="AQ483" t="n">
        <v>0</v>
      </c>
      <c r="AR483" t="inlineStr">
        <is>
          <t>No</t>
        </is>
      </c>
      <c r="AS483" t="inlineStr">
        <is>
          <t>Yes</t>
        </is>
      </c>
      <c r="AT483">
        <f>HYPERLINK("http://catalog.hathitrust.org/Record/001037001","HathiTrust Record")</f>
        <v/>
      </c>
      <c r="AU483">
        <f>HYPERLINK("https://creighton-primo.hosted.exlibrisgroup.com/primo-explore/search?tab=default_tab&amp;search_scope=EVERYTHING&amp;vid=01CRU&amp;lang=en_US&amp;offset=0&amp;query=any,contains,991002426209702656","Catalog Record")</f>
        <v/>
      </c>
      <c r="AV483">
        <f>HYPERLINK("http://www.worldcat.org/oclc/344978","WorldCat Record")</f>
        <v/>
      </c>
      <c r="AW483" t="inlineStr">
        <is>
          <t>365141351:spa</t>
        </is>
      </c>
      <c r="AX483" t="inlineStr">
        <is>
          <t>344978</t>
        </is>
      </c>
      <c r="AY483" t="inlineStr">
        <is>
          <t>991002426209702656</t>
        </is>
      </c>
      <c r="AZ483" t="inlineStr">
        <is>
          <t>991002426209702656</t>
        </is>
      </c>
      <c r="BA483" t="inlineStr">
        <is>
          <t>2269961070002656</t>
        </is>
      </c>
      <c r="BB483" t="inlineStr">
        <is>
          <t>BOOK</t>
        </is>
      </c>
      <c r="BE483" t="inlineStr">
        <is>
          <t>32285002516606</t>
        </is>
      </c>
      <c r="BF483" t="inlineStr">
        <is>
          <t>893697767</t>
        </is>
      </c>
    </row>
    <row r="484">
      <c r="A484" t="inlineStr">
        <is>
          <t>No</t>
        </is>
      </c>
      <c r="B484" t="inlineStr">
        <is>
          <t>CURAL</t>
        </is>
      </c>
      <c r="C484" t="inlineStr">
        <is>
          <t>SHELVES</t>
        </is>
      </c>
      <c r="D484" t="inlineStr">
        <is>
          <t>PQ6085 .V5 1971</t>
        </is>
      </c>
      <c r="E484" t="inlineStr">
        <is>
          <t>0                      PQ 6085000V  5           1971</t>
        </is>
      </c>
      <c r="F484" t="inlineStr">
        <is>
          <t>Introducción a la poesía española contemporánea / Luis Felipe Vivanco.</t>
        </is>
      </c>
      <c r="G484" t="inlineStr">
        <is>
          <t>V. 2</t>
        </is>
      </c>
      <c r="H484" t="inlineStr">
        <is>
          <t>Yes</t>
        </is>
      </c>
      <c r="I484" t="inlineStr">
        <is>
          <t>1</t>
        </is>
      </c>
      <c r="J484" t="inlineStr">
        <is>
          <t>No</t>
        </is>
      </c>
      <c r="K484" t="inlineStr">
        <is>
          <t>No</t>
        </is>
      </c>
      <c r="L484" t="inlineStr">
        <is>
          <t>0</t>
        </is>
      </c>
      <c r="M484" t="inlineStr">
        <is>
          <t>Vivanco, Luis Felipe.</t>
        </is>
      </c>
      <c r="N484" t="inlineStr">
        <is>
          <t>Madrid : Guadarrama, [1971]</t>
        </is>
      </c>
      <c r="O484" t="inlineStr">
        <is>
          <t>1971</t>
        </is>
      </c>
      <c r="P484" t="inlineStr">
        <is>
          <t>2. ed.</t>
        </is>
      </c>
      <c r="Q484" t="inlineStr">
        <is>
          <t>spa</t>
        </is>
      </c>
      <c r="R484" t="inlineStr">
        <is>
          <t xml:space="preserve">sp </t>
        </is>
      </c>
      <c r="S484" t="inlineStr">
        <is>
          <t>Punto omega, 126</t>
        </is>
      </c>
      <c r="T484" t="inlineStr">
        <is>
          <t xml:space="preserve">PQ </t>
        </is>
      </c>
      <c r="U484" t="n">
        <v>1</v>
      </c>
      <c r="V484" t="n">
        <v>2</v>
      </c>
      <c r="W484" t="inlineStr">
        <is>
          <t>2005-03-23</t>
        </is>
      </c>
      <c r="X484" t="inlineStr">
        <is>
          <t>2005-03-23</t>
        </is>
      </c>
      <c r="Y484" t="inlineStr">
        <is>
          <t>2005-03-23</t>
        </is>
      </c>
      <c r="Z484" t="inlineStr">
        <is>
          <t>2005-03-23</t>
        </is>
      </c>
      <c r="AA484" t="n">
        <v>137</v>
      </c>
      <c r="AB484" t="n">
        <v>120</v>
      </c>
      <c r="AC484" t="n">
        <v>406</v>
      </c>
      <c r="AD484" t="n">
        <v>3</v>
      </c>
      <c r="AE484" t="n">
        <v>4</v>
      </c>
      <c r="AF484" t="n">
        <v>8</v>
      </c>
      <c r="AG484" t="n">
        <v>20</v>
      </c>
      <c r="AH484" t="n">
        <v>0</v>
      </c>
      <c r="AI484" t="n">
        <v>5</v>
      </c>
      <c r="AJ484" t="n">
        <v>2</v>
      </c>
      <c r="AK484" t="n">
        <v>5</v>
      </c>
      <c r="AL484" t="n">
        <v>4</v>
      </c>
      <c r="AM484" t="n">
        <v>11</v>
      </c>
      <c r="AN484" t="n">
        <v>2</v>
      </c>
      <c r="AO484" t="n">
        <v>3</v>
      </c>
      <c r="AP484" t="n">
        <v>0</v>
      </c>
      <c r="AQ484" t="n">
        <v>0</v>
      </c>
      <c r="AR484" t="inlineStr">
        <is>
          <t>No</t>
        </is>
      </c>
      <c r="AS484" t="inlineStr">
        <is>
          <t>Yes</t>
        </is>
      </c>
      <c r="AT484">
        <f>HYPERLINK("http://catalog.hathitrust.org/Record/010015014","HathiTrust Record")</f>
        <v/>
      </c>
      <c r="AU484">
        <f>HYPERLINK("https://creighton-primo.hosted.exlibrisgroup.com/primo-explore/search?tab=default_tab&amp;search_scope=EVERYTHING&amp;vid=01CRU&amp;lang=en_US&amp;offset=0&amp;query=any,contains,991004510319702656","Catalog Record")</f>
        <v/>
      </c>
      <c r="AV484">
        <f>HYPERLINK("http://www.worldcat.org/oclc/536526","WorldCat Record")</f>
        <v/>
      </c>
      <c r="AW484" t="inlineStr">
        <is>
          <t>1559042:spa</t>
        </is>
      </c>
      <c r="AX484" t="inlineStr">
        <is>
          <t>536526</t>
        </is>
      </c>
      <c r="AY484" t="inlineStr">
        <is>
          <t>991004510319702656</t>
        </is>
      </c>
      <c r="AZ484" t="inlineStr">
        <is>
          <t>991004510319702656</t>
        </is>
      </c>
      <c r="BA484" t="inlineStr">
        <is>
          <t>2260830860002656</t>
        </is>
      </c>
      <c r="BB484" t="inlineStr">
        <is>
          <t>BOOK</t>
        </is>
      </c>
      <c r="BE484" t="inlineStr">
        <is>
          <t>32285005044580</t>
        </is>
      </c>
      <c r="BF484" t="inlineStr">
        <is>
          <t>893331692</t>
        </is>
      </c>
    </row>
    <row r="485">
      <c r="A485" t="inlineStr">
        <is>
          <t>No</t>
        </is>
      </c>
      <c r="B485" t="inlineStr">
        <is>
          <t>CURAL</t>
        </is>
      </c>
      <c r="C485" t="inlineStr">
        <is>
          <t>SHELVES</t>
        </is>
      </c>
      <c r="D485" t="inlineStr">
        <is>
          <t>PQ6085 .V5 1971</t>
        </is>
      </c>
      <c r="E485" t="inlineStr">
        <is>
          <t>0                      PQ 6085000V  5           1971</t>
        </is>
      </c>
      <c r="F485" t="inlineStr">
        <is>
          <t>Introducción a la poesía española contemporánea / Luis Felipe Vivanco.</t>
        </is>
      </c>
      <c r="G485" t="inlineStr">
        <is>
          <t>V. 1</t>
        </is>
      </c>
      <c r="H485" t="inlineStr">
        <is>
          <t>Yes</t>
        </is>
      </c>
      <c r="I485" t="inlineStr">
        <is>
          <t>1</t>
        </is>
      </c>
      <c r="J485" t="inlineStr">
        <is>
          <t>No</t>
        </is>
      </c>
      <c r="K485" t="inlineStr">
        <is>
          <t>No</t>
        </is>
      </c>
      <c r="L485" t="inlineStr">
        <is>
          <t>0</t>
        </is>
      </c>
      <c r="M485" t="inlineStr">
        <is>
          <t>Vivanco, Luis Felipe.</t>
        </is>
      </c>
      <c r="N485" t="inlineStr">
        <is>
          <t>Madrid : Guadarrama, [1971]</t>
        </is>
      </c>
      <c r="O485" t="inlineStr">
        <is>
          <t>1971</t>
        </is>
      </c>
      <c r="P485" t="inlineStr">
        <is>
          <t>2. ed.</t>
        </is>
      </c>
      <c r="Q485" t="inlineStr">
        <is>
          <t>spa</t>
        </is>
      </c>
      <c r="R485" t="inlineStr">
        <is>
          <t xml:space="preserve">sp </t>
        </is>
      </c>
      <c r="S485" t="inlineStr">
        <is>
          <t>Punto omega, 126</t>
        </is>
      </c>
      <c r="T485" t="inlineStr">
        <is>
          <t xml:space="preserve">PQ </t>
        </is>
      </c>
      <c r="U485" t="n">
        <v>1</v>
      </c>
      <c r="V485" t="n">
        <v>2</v>
      </c>
      <c r="W485" t="inlineStr">
        <is>
          <t>2005-03-23</t>
        </is>
      </c>
      <c r="X485" t="inlineStr">
        <is>
          <t>2005-03-23</t>
        </is>
      </c>
      <c r="Y485" t="inlineStr">
        <is>
          <t>2005-03-23</t>
        </is>
      </c>
      <c r="Z485" t="inlineStr">
        <is>
          <t>2005-03-23</t>
        </is>
      </c>
      <c r="AA485" t="n">
        <v>137</v>
      </c>
      <c r="AB485" t="n">
        <v>120</v>
      </c>
      <c r="AC485" t="n">
        <v>406</v>
      </c>
      <c r="AD485" t="n">
        <v>3</v>
      </c>
      <c r="AE485" t="n">
        <v>4</v>
      </c>
      <c r="AF485" t="n">
        <v>8</v>
      </c>
      <c r="AG485" t="n">
        <v>20</v>
      </c>
      <c r="AH485" t="n">
        <v>0</v>
      </c>
      <c r="AI485" t="n">
        <v>5</v>
      </c>
      <c r="AJ485" t="n">
        <v>2</v>
      </c>
      <c r="AK485" t="n">
        <v>5</v>
      </c>
      <c r="AL485" t="n">
        <v>4</v>
      </c>
      <c r="AM485" t="n">
        <v>11</v>
      </c>
      <c r="AN485" t="n">
        <v>2</v>
      </c>
      <c r="AO485" t="n">
        <v>3</v>
      </c>
      <c r="AP485" t="n">
        <v>0</v>
      </c>
      <c r="AQ485" t="n">
        <v>0</v>
      </c>
      <c r="AR485" t="inlineStr">
        <is>
          <t>No</t>
        </is>
      </c>
      <c r="AS485" t="inlineStr">
        <is>
          <t>Yes</t>
        </is>
      </c>
      <c r="AT485">
        <f>HYPERLINK("http://catalog.hathitrust.org/Record/010015014","HathiTrust Record")</f>
        <v/>
      </c>
      <c r="AU485">
        <f>HYPERLINK("https://creighton-primo.hosted.exlibrisgroup.com/primo-explore/search?tab=default_tab&amp;search_scope=EVERYTHING&amp;vid=01CRU&amp;lang=en_US&amp;offset=0&amp;query=any,contains,991004510319702656","Catalog Record")</f>
        <v/>
      </c>
      <c r="AV485">
        <f>HYPERLINK("http://www.worldcat.org/oclc/536526","WorldCat Record")</f>
        <v/>
      </c>
      <c r="AW485" t="inlineStr">
        <is>
          <t>1559042:spa</t>
        </is>
      </c>
      <c r="AX485" t="inlineStr">
        <is>
          <t>536526</t>
        </is>
      </c>
      <c r="AY485" t="inlineStr">
        <is>
          <t>991004510319702656</t>
        </is>
      </c>
      <c r="AZ485" t="inlineStr">
        <is>
          <t>991004510319702656</t>
        </is>
      </c>
      <c r="BA485" t="inlineStr">
        <is>
          <t>2260830860002656</t>
        </is>
      </c>
      <c r="BB485" t="inlineStr">
        <is>
          <t>BOOK</t>
        </is>
      </c>
      <c r="BE485" t="inlineStr">
        <is>
          <t>32285005044572</t>
        </is>
      </c>
      <c r="BF485" t="inlineStr">
        <is>
          <t>893350099</t>
        </is>
      </c>
    </row>
    <row r="486">
      <c r="A486" t="inlineStr">
        <is>
          <t>No</t>
        </is>
      </c>
      <c r="B486" t="inlineStr">
        <is>
          <t>CURAL</t>
        </is>
      </c>
      <c r="C486" t="inlineStr">
        <is>
          <t>SHELVES</t>
        </is>
      </c>
      <c r="D486" t="inlineStr">
        <is>
          <t>PQ6085 .Z315</t>
        </is>
      </c>
      <c r="E486" t="inlineStr">
        <is>
          <t>0                      PQ 6085000Z  315</t>
        </is>
      </c>
      <c r="F486" t="inlineStr">
        <is>
          <t>Poesía española del siglo XX [i.e. veinte] : estudios temáticos y estilísticos / Concha Zardoya.</t>
        </is>
      </c>
      <c r="G486" t="inlineStr">
        <is>
          <t>V. 3</t>
        </is>
      </c>
      <c r="H486" t="inlineStr">
        <is>
          <t>Yes</t>
        </is>
      </c>
      <c r="I486" t="inlineStr">
        <is>
          <t>1</t>
        </is>
      </c>
      <c r="J486" t="inlineStr">
        <is>
          <t>No</t>
        </is>
      </c>
      <c r="K486" t="inlineStr">
        <is>
          <t>No</t>
        </is>
      </c>
      <c r="L486" t="inlineStr">
        <is>
          <t>0</t>
        </is>
      </c>
      <c r="M486" t="inlineStr">
        <is>
          <t>Zardoya, Concha.</t>
        </is>
      </c>
      <c r="N486" t="inlineStr">
        <is>
          <t>Madrid : Editorial Gredos, [1974]</t>
        </is>
      </c>
      <c r="O486" t="inlineStr">
        <is>
          <t>1974</t>
        </is>
      </c>
      <c r="Q486" t="inlineStr">
        <is>
          <t>spa</t>
        </is>
      </c>
      <c r="R486" t="inlineStr">
        <is>
          <t xml:space="preserve">sp </t>
        </is>
      </c>
      <c r="S486" t="inlineStr">
        <is>
          <t>Biblioteca románica hispánica : 2. Estudios y ensayos ; 114</t>
        </is>
      </c>
      <c r="T486" t="inlineStr">
        <is>
          <t xml:space="preserve">PQ </t>
        </is>
      </c>
      <c r="U486" t="n">
        <v>2</v>
      </c>
      <c r="V486" t="n">
        <v>8</v>
      </c>
      <c r="W486" t="inlineStr">
        <is>
          <t>1998-09-14</t>
        </is>
      </c>
      <c r="X486" t="inlineStr">
        <is>
          <t>2002-01-29</t>
        </is>
      </c>
      <c r="Y486" t="inlineStr">
        <is>
          <t>1997-06-26</t>
        </is>
      </c>
      <c r="Z486" t="inlineStr">
        <is>
          <t>1997-06-26</t>
        </is>
      </c>
      <c r="AA486" t="n">
        <v>216</v>
      </c>
      <c r="AB486" t="n">
        <v>175</v>
      </c>
      <c r="AC486" t="n">
        <v>178</v>
      </c>
      <c r="AD486" t="n">
        <v>2</v>
      </c>
      <c r="AE486" t="n">
        <v>2</v>
      </c>
      <c r="AF486" t="n">
        <v>10</v>
      </c>
      <c r="AG486" t="n">
        <v>10</v>
      </c>
      <c r="AH486" t="n">
        <v>2</v>
      </c>
      <c r="AI486" t="n">
        <v>2</v>
      </c>
      <c r="AJ486" t="n">
        <v>4</v>
      </c>
      <c r="AK486" t="n">
        <v>4</v>
      </c>
      <c r="AL486" t="n">
        <v>6</v>
      </c>
      <c r="AM486" t="n">
        <v>6</v>
      </c>
      <c r="AN486" t="n">
        <v>1</v>
      </c>
      <c r="AO486" t="n">
        <v>1</v>
      </c>
      <c r="AP486" t="n">
        <v>0</v>
      </c>
      <c r="AQ486" t="n">
        <v>0</v>
      </c>
      <c r="AR486" t="inlineStr">
        <is>
          <t>No</t>
        </is>
      </c>
      <c r="AS486" t="inlineStr">
        <is>
          <t>Yes</t>
        </is>
      </c>
      <c r="AT486">
        <f>HYPERLINK("http://catalog.hathitrust.org/Record/007969500","HathiTrust Record")</f>
        <v/>
      </c>
      <c r="AU486">
        <f>HYPERLINK("https://creighton-primo.hosted.exlibrisgroup.com/primo-explore/search?tab=default_tab&amp;search_scope=EVERYTHING&amp;vid=01CRU&amp;lang=en_US&amp;offset=0&amp;query=any,contains,991003663669702656","Catalog Record")</f>
        <v/>
      </c>
      <c r="AV486">
        <f>HYPERLINK("http://www.worldcat.org/oclc/1275976","WorldCat Record")</f>
        <v/>
      </c>
      <c r="AW486" t="inlineStr">
        <is>
          <t>10792626509:spa</t>
        </is>
      </c>
      <c r="AX486" t="inlineStr">
        <is>
          <t>1275976</t>
        </is>
      </c>
      <c r="AY486" t="inlineStr">
        <is>
          <t>991003663669702656</t>
        </is>
      </c>
      <c r="AZ486" t="inlineStr">
        <is>
          <t>991003663669702656</t>
        </is>
      </c>
      <c r="BA486" t="inlineStr">
        <is>
          <t>2260354420002656</t>
        </is>
      </c>
      <c r="BB486" t="inlineStr">
        <is>
          <t>BOOK</t>
        </is>
      </c>
      <c r="BD486" t="inlineStr">
        <is>
          <t>9788424905507</t>
        </is>
      </c>
      <c r="BE486" t="inlineStr">
        <is>
          <t>32285002516630</t>
        </is>
      </c>
      <c r="BF486" t="inlineStr">
        <is>
          <t>893686794</t>
        </is>
      </c>
    </row>
    <row r="487">
      <c r="A487" t="inlineStr">
        <is>
          <t>No</t>
        </is>
      </c>
      <c r="B487" t="inlineStr">
        <is>
          <t>CURAL</t>
        </is>
      </c>
      <c r="C487" t="inlineStr">
        <is>
          <t>SHELVES</t>
        </is>
      </c>
      <c r="D487" t="inlineStr">
        <is>
          <t>PQ6085 .Z315</t>
        </is>
      </c>
      <c r="E487" t="inlineStr">
        <is>
          <t>0                      PQ 6085000Z  315</t>
        </is>
      </c>
      <c r="F487" t="inlineStr">
        <is>
          <t>Poesía española del siglo XX [i.e. veinte] : estudios temáticos y estilísticos / Concha Zardoya.</t>
        </is>
      </c>
      <c r="G487" t="inlineStr">
        <is>
          <t>V. 1</t>
        </is>
      </c>
      <c r="H487" t="inlineStr">
        <is>
          <t>Yes</t>
        </is>
      </c>
      <c r="I487" t="inlineStr">
        <is>
          <t>1</t>
        </is>
      </c>
      <c r="J487" t="inlineStr">
        <is>
          <t>No</t>
        </is>
      </c>
      <c r="K487" t="inlineStr">
        <is>
          <t>No</t>
        </is>
      </c>
      <c r="L487" t="inlineStr">
        <is>
          <t>0</t>
        </is>
      </c>
      <c r="M487" t="inlineStr">
        <is>
          <t>Zardoya, Concha.</t>
        </is>
      </c>
      <c r="N487" t="inlineStr">
        <is>
          <t>Madrid : Editorial Gredos, [1974]</t>
        </is>
      </c>
      <c r="O487" t="inlineStr">
        <is>
          <t>1974</t>
        </is>
      </c>
      <c r="Q487" t="inlineStr">
        <is>
          <t>spa</t>
        </is>
      </c>
      <c r="R487" t="inlineStr">
        <is>
          <t xml:space="preserve">sp </t>
        </is>
      </c>
      <c r="S487" t="inlineStr">
        <is>
          <t>Biblioteca románica hispánica : 2. Estudios y ensayos ; 114</t>
        </is>
      </c>
      <c r="T487" t="inlineStr">
        <is>
          <t xml:space="preserve">PQ </t>
        </is>
      </c>
      <c r="U487" t="n">
        <v>2</v>
      </c>
      <c r="V487" t="n">
        <v>8</v>
      </c>
      <c r="W487" t="inlineStr">
        <is>
          <t>2002-01-29</t>
        </is>
      </c>
      <c r="X487" t="inlineStr">
        <is>
          <t>2002-01-29</t>
        </is>
      </c>
      <c r="Y487" t="inlineStr">
        <is>
          <t>1997-06-26</t>
        </is>
      </c>
      <c r="Z487" t="inlineStr">
        <is>
          <t>1997-06-26</t>
        </is>
      </c>
      <c r="AA487" t="n">
        <v>216</v>
      </c>
      <c r="AB487" t="n">
        <v>175</v>
      </c>
      <c r="AC487" t="n">
        <v>178</v>
      </c>
      <c r="AD487" t="n">
        <v>2</v>
      </c>
      <c r="AE487" t="n">
        <v>2</v>
      </c>
      <c r="AF487" t="n">
        <v>10</v>
      </c>
      <c r="AG487" t="n">
        <v>10</v>
      </c>
      <c r="AH487" t="n">
        <v>2</v>
      </c>
      <c r="AI487" t="n">
        <v>2</v>
      </c>
      <c r="AJ487" t="n">
        <v>4</v>
      </c>
      <c r="AK487" t="n">
        <v>4</v>
      </c>
      <c r="AL487" t="n">
        <v>6</v>
      </c>
      <c r="AM487" t="n">
        <v>6</v>
      </c>
      <c r="AN487" t="n">
        <v>1</v>
      </c>
      <c r="AO487" t="n">
        <v>1</v>
      </c>
      <c r="AP487" t="n">
        <v>0</v>
      </c>
      <c r="AQ487" t="n">
        <v>0</v>
      </c>
      <c r="AR487" t="inlineStr">
        <is>
          <t>No</t>
        </is>
      </c>
      <c r="AS487" t="inlineStr">
        <is>
          <t>Yes</t>
        </is>
      </c>
      <c r="AT487">
        <f>HYPERLINK("http://catalog.hathitrust.org/Record/007969500","HathiTrust Record")</f>
        <v/>
      </c>
      <c r="AU487">
        <f>HYPERLINK("https://creighton-primo.hosted.exlibrisgroup.com/primo-explore/search?tab=default_tab&amp;search_scope=EVERYTHING&amp;vid=01CRU&amp;lang=en_US&amp;offset=0&amp;query=any,contains,991003663669702656","Catalog Record")</f>
        <v/>
      </c>
      <c r="AV487">
        <f>HYPERLINK("http://www.worldcat.org/oclc/1275976","WorldCat Record")</f>
        <v/>
      </c>
      <c r="AW487" t="inlineStr">
        <is>
          <t>10792626509:spa</t>
        </is>
      </c>
      <c r="AX487" t="inlineStr">
        <is>
          <t>1275976</t>
        </is>
      </c>
      <c r="AY487" t="inlineStr">
        <is>
          <t>991003663669702656</t>
        </is>
      </c>
      <c r="AZ487" t="inlineStr">
        <is>
          <t>991003663669702656</t>
        </is>
      </c>
      <c r="BA487" t="inlineStr">
        <is>
          <t>2260354420002656</t>
        </is>
      </c>
      <c r="BB487" t="inlineStr">
        <is>
          <t>BOOK</t>
        </is>
      </c>
      <c r="BD487" t="inlineStr">
        <is>
          <t>9788424905507</t>
        </is>
      </c>
      <c r="BE487" t="inlineStr">
        <is>
          <t>32285002516614</t>
        </is>
      </c>
      <c r="BF487" t="inlineStr">
        <is>
          <t>893711629</t>
        </is>
      </c>
    </row>
    <row r="488">
      <c r="A488" t="inlineStr">
        <is>
          <t>No</t>
        </is>
      </c>
      <c r="B488" t="inlineStr">
        <is>
          <t>CURAL</t>
        </is>
      </c>
      <c r="C488" t="inlineStr">
        <is>
          <t>SHELVES</t>
        </is>
      </c>
      <c r="D488" t="inlineStr">
        <is>
          <t>PQ6085 .Z315</t>
        </is>
      </c>
      <c r="E488" t="inlineStr">
        <is>
          <t>0                      PQ 6085000Z  315</t>
        </is>
      </c>
      <c r="F488" t="inlineStr">
        <is>
          <t>Poesía española del siglo XX [i.e. veinte] : estudios temáticos y estilísticos / Concha Zardoya.</t>
        </is>
      </c>
      <c r="G488" t="inlineStr">
        <is>
          <t>V. 4</t>
        </is>
      </c>
      <c r="H488" t="inlineStr">
        <is>
          <t>Yes</t>
        </is>
      </c>
      <c r="I488" t="inlineStr">
        <is>
          <t>1</t>
        </is>
      </c>
      <c r="J488" t="inlineStr">
        <is>
          <t>No</t>
        </is>
      </c>
      <c r="K488" t="inlineStr">
        <is>
          <t>No</t>
        </is>
      </c>
      <c r="L488" t="inlineStr">
        <is>
          <t>0</t>
        </is>
      </c>
      <c r="M488" t="inlineStr">
        <is>
          <t>Zardoya, Concha.</t>
        </is>
      </c>
      <c r="N488" t="inlineStr">
        <is>
          <t>Madrid : Editorial Gredos, [1974]</t>
        </is>
      </c>
      <c r="O488" t="inlineStr">
        <is>
          <t>1974</t>
        </is>
      </c>
      <c r="Q488" t="inlineStr">
        <is>
          <t>spa</t>
        </is>
      </c>
      <c r="R488" t="inlineStr">
        <is>
          <t xml:space="preserve">sp </t>
        </is>
      </c>
      <c r="S488" t="inlineStr">
        <is>
          <t>Biblioteca románica hispánica : 2. Estudios y ensayos ; 114</t>
        </is>
      </c>
      <c r="T488" t="inlineStr">
        <is>
          <t xml:space="preserve">PQ </t>
        </is>
      </c>
      <c r="U488" t="n">
        <v>2</v>
      </c>
      <c r="V488" t="n">
        <v>8</v>
      </c>
      <c r="W488" t="inlineStr">
        <is>
          <t>1998-09-14</t>
        </is>
      </c>
      <c r="X488" t="inlineStr">
        <is>
          <t>2002-01-29</t>
        </is>
      </c>
      <c r="Y488" t="inlineStr">
        <is>
          <t>1997-06-26</t>
        </is>
      </c>
      <c r="Z488" t="inlineStr">
        <is>
          <t>1997-06-26</t>
        </is>
      </c>
      <c r="AA488" t="n">
        <v>216</v>
      </c>
      <c r="AB488" t="n">
        <v>175</v>
      </c>
      <c r="AC488" t="n">
        <v>178</v>
      </c>
      <c r="AD488" t="n">
        <v>2</v>
      </c>
      <c r="AE488" t="n">
        <v>2</v>
      </c>
      <c r="AF488" t="n">
        <v>10</v>
      </c>
      <c r="AG488" t="n">
        <v>10</v>
      </c>
      <c r="AH488" t="n">
        <v>2</v>
      </c>
      <c r="AI488" t="n">
        <v>2</v>
      </c>
      <c r="AJ488" t="n">
        <v>4</v>
      </c>
      <c r="AK488" t="n">
        <v>4</v>
      </c>
      <c r="AL488" t="n">
        <v>6</v>
      </c>
      <c r="AM488" t="n">
        <v>6</v>
      </c>
      <c r="AN488" t="n">
        <v>1</v>
      </c>
      <c r="AO488" t="n">
        <v>1</v>
      </c>
      <c r="AP488" t="n">
        <v>0</v>
      </c>
      <c r="AQ488" t="n">
        <v>0</v>
      </c>
      <c r="AR488" t="inlineStr">
        <is>
          <t>No</t>
        </is>
      </c>
      <c r="AS488" t="inlineStr">
        <is>
          <t>Yes</t>
        </is>
      </c>
      <c r="AT488">
        <f>HYPERLINK("http://catalog.hathitrust.org/Record/007969500","HathiTrust Record")</f>
        <v/>
      </c>
      <c r="AU488">
        <f>HYPERLINK("https://creighton-primo.hosted.exlibrisgroup.com/primo-explore/search?tab=default_tab&amp;search_scope=EVERYTHING&amp;vid=01CRU&amp;lang=en_US&amp;offset=0&amp;query=any,contains,991003663669702656","Catalog Record")</f>
        <v/>
      </c>
      <c r="AV488">
        <f>HYPERLINK("http://www.worldcat.org/oclc/1275976","WorldCat Record")</f>
        <v/>
      </c>
      <c r="AW488" t="inlineStr">
        <is>
          <t>10792626509:spa</t>
        </is>
      </c>
      <c r="AX488" t="inlineStr">
        <is>
          <t>1275976</t>
        </is>
      </c>
      <c r="AY488" t="inlineStr">
        <is>
          <t>991003663669702656</t>
        </is>
      </c>
      <c r="AZ488" t="inlineStr">
        <is>
          <t>991003663669702656</t>
        </is>
      </c>
      <c r="BA488" t="inlineStr">
        <is>
          <t>2260354420002656</t>
        </is>
      </c>
      <c r="BB488" t="inlineStr">
        <is>
          <t>BOOK</t>
        </is>
      </c>
      <c r="BD488" t="inlineStr">
        <is>
          <t>9788424905507</t>
        </is>
      </c>
      <c r="BE488" t="inlineStr">
        <is>
          <t>32285002516648</t>
        </is>
      </c>
      <c r="BF488" t="inlineStr">
        <is>
          <t>893711628</t>
        </is>
      </c>
    </row>
    <row r="489">
      <c r="A489" t="inlineStr">
        <is>
          <t>No</t>
        </is>
      </c>
      <c r="B489" t="inlineStr">
        <is>
          <t>CURAL</t>
        </is>
      </c>
      <c r="C489" t="inlineStr">
        <is>
          <t>SHELVES</t>
        </is>
      </c>
      <c r="D489" t="inlineStr">
        <is>
          <t>PQ6085 .Z37</t>
        </is>
      </c>
      <c r="E489" t="inlineStr">
        <is>
          <t>0                      PQ 6085000Z  37</t>
        </is>
      </c>
      <c r="F489" t="inlineStr">
        <is>
          <t>Poesía española del 98 y del 27; estudios temáticos y estilísticos.</t>
        </is>
      </c>
      <c r="H489" t="inlineStr">
        <is>
          <t>No</t>
        </is>
      </c>
      <c r="I489" t="inlineStr">
        <is>
          <t>1</t>
        </is>
      </c>
      <c r="J489" t="inlineStr">
        <is>
          <t>No</t>
        </is>
      </c>
      <c r="K489" t="inlineStr">
        <is>
          <t>No</t>
        </is>
      </c>
      <c r="L489" t="inlineStr">
        <is>
          <t>0</t>
        </is>
      </c>
      <c r="M489" t="inlineStr">
        <is>
          <t>Zardoya, Concha.</t>
        </is>
      </c>
      <c r="N489" t="inlineStr">
        <is>
          <t>Madrid, Editorial Gredos [1968]</t>
        </is>
      </c>
      <c r="O489" t="inlineStr">
        <is>
          <t>1968</t>
        </is>
      </c>
      <c r="Q489" t="inlineStr">
        <is>
          <t>spa</t>
        </is>
      </c>
      <c r="R489" t="inlineStr">
        <is>
          <t xml:space="preserve">sp </t>
        </is>
      </c>
      <c r="S489" t="inlineStr">
        <is>
          <t>Biblioteca románica hispánica. 2. Estudios y ensayos [114]</t>
        </is>
      </c>
      <c r="T489" t="inlineStr">
        <is>
          <t xml:space="preserve">PQ </t>
        </is>
      </c>
      <c r="U489" t="n">
        <v>2</v>
      </c>
      <c r="V489" t="n">
        <v>2</v>
      </c>
      <c r="W489" t="inlineStr">
        <is>
          <t>1998-09-14</t>
        </is>
      </c>
      <c r="X489" t="inlineStr">
        <is>
          <t>1998-09-14</t>
        </is>
      </c>
      <c r="Y489" t="inlineStr">
        <is>
          <t>1997-06-26</t>
        </is>
      </c>
      <c r="Z489" t="inlineStr">
        <is>
          <t>1997-06-26</t>
        </is>
      </c>
      <c r="AA489" t="n">
        <v>380</v>
      </c>
      <c r="AB489" t="n">
        <v>335</v>
      </c>
      <c r="AC489" t="n">
        <v>341</v>
      </c>
      <c r="AD489" t="n">
        <v>3</v>
      </c>
      <c r="AE489" t="n">
        <v>3</v>
      </c>
      <c r="AF489" t="n">
        <v>17</v>
      </c>
      <c r="AG489" t="n">
        <v>17</v>
      </c>
      <c r="AH489" t="n">
        <v>5</v>
      </c>
      <c r="AI489" t="n">
        <v>5</v>
      </c>
      <c r="AJ489" t="n">
        <v>5</v>
      </c>
      <c r="AK489" t="n">
        <v>5</v>
      </c>
      <c r="AL489" t="n">
        <v>9</v>
      </c>
      <c r="AM489" t="n">
        <v>9</v>
      </c>
      <c r="AN489" t="n">
        <v>2</v>
      </c>
      <c r="AO489" t="n">
        <v>2</v>
      </c>
      <c r="AP489" t="n">
        <v>0</v>
      </c>
      <c r="AQ489" t="n">
        <v>0</v>
      </c>
      <c r="AR489" t="inlineStr">
        <is>
          <t>No</t>
        </is>
      </c>
      <c r="AS489" t="inlineStr">
        <is>
          <t>Yes</t>
        </is>
      </c>
      <c r="AT489">
        <f>HYPERLINK("http://catalog.hathitrust.org/Record/001037005","HathiTrust Record")</f>
        <v/>
      </c>
      <c r="AU489">
        <f>HYPERLINK("https://creighton-primo.hosted.exlibrisgroup.com/primo-explore/search?tab=default_tab&amp;search_scope=EVERYTHING&amp;vid=01CRU&amp;lang=en_US&amp;offset=0&amp;query=any,contains,991001178839702656","Catalog Record")</f>
        <v/>
      </c>
      <c r="AV489">
        <f>HYPERLINK("http://www.worldcat.org/oclc/189509","WorldCat Record")</f>
        <v/>
      </c>
      <c r="AW489" t="inlineStr">
        <is>
          <t>10567914132:spa</t>
        </is>
      </c>
      <c r="AX489" t="inlineStr">
        <is>
          <t>189509</t>
        </is>
      </c>
      <c r="AY489" t="inlineStr">
        <is>
          <t>991001178839702656</t>
        </is>
      </c>
      <c r="AZ489" t="inlineStr">
        <is>
          <t>991001178839702656</t>
        </is>
      </c>
      <c r="BA489" t="inlineStr">
        <is>
          <t>2268114970002656</t>
        </is>
      </c>
      <c r="BB489" t="inlineStr">
        <is>
          <t>BOOK</t>
        </is>
      </c>
      <c r="BE489" t="inlineStr">
        <is>
          <t>32285002516655</t>
        </is>
      </c>
      <c r="BF489" t="inlineStr">
        <is>
          <t>893237924</t>
        </is>
      </c>
    </row>
    <row r="490">
      <c r="A490" t="inlineStr">
        <is>
          <t>No</t>
        </is>
      </c>
      <c r="B490" t="inlineStr">
        <is>
          <t>CURAL</t>
        </is>
      </c>
      <c r="C490" t="inlineStr">
        <is>
          <t>SHELVES</t>
        </is>
      </c>
      <c r="D490" t="inlineStr">
        <is>
          <t>PQ6088 .G3</t>
        </is>
      </c>
      <c r="E490" t="inlineStr">
        <is>
          <t>0                      PQ 6088000G  3</t>
        </is>
      </c>
      <c r="F490" t="inlineStr">
        <is>
          <t>Epica árabe y épica castellana / Alvaro Galmés de Fuentes.</t>
        </is>
      </c>
      <c r="H490" t="inlineStr">
        <is>
          <t>No</t>
        </is>
      </c>
      <c r="I490" t="inlineStr">
        <is>
          <t>1</t>
        </is>
      </c>
      <c r="J490" t="inlineStr">
        <is>
          <t>No</t>
        </is>
      </c>
      <c r="K490" t="inlineStr">
        <is>
          <t>No</t>
        </is>
      </c>
      <c r="L490" t="inlineStr">
        <is>
          <t>0</t>
        </is>
      </c>
      <c r="M490" t="inlineStr">
        <is>
          <t>Galmés de Fuentes, Alvaro.</t>
        </is>
      </c>
      <c r="N490" t="inlineStr">
        <is>
          <t>Barcelona : Ariel, 1978.</t>
        </is>
      </c>
      <c r="O490" t="inlineStr">
        <is>
          <t>1978</t>
        </is>
      </c>
      <c r="P490" t="inlineStr">
        <is>
          <t>1. ed.</t>
        </is>
      </c>
      <c r="Q490" t="inlineStr">
        <is>
          <t>spa</t>
        </is>
      </c>
      <c r="R490" t="inlineStr">
        <is>
          <t xml:space="preserve">sp </t>
        </is>
      </c>
      <c r="S490" t="inlineStr">
        <is>
          <t>Letras e ideas. Minor ; 8</t>
        </is>
      </c>
      <c r="T490" t="inlineStr">
        <is>
          <t xml:space="preserve">PQ </t>
        </is>
      </c>
      <c r="U490" t="n">
        <v>3</v>
      </c>
      <c r="V490" t="n">
        <v>3</v>
      </c>
      <c r="W490" t="inlineStr">
        <is>
          <t>2000-03-20</t>
        </is>
      </c>
      <c r="X490" t="inlineStr">
        <is>
          <t>2000-03-20</t>
        </is>
      </c>
      <c r="Y490" t="inlineStr">
        <is>
          <t>1991-05-22</t>
        </is>
      </c>
      <c r="Z490" t="inlineStr">
        <is>
          <t>1991-05-22</t>
        </is>
      </c>
      <c r="AA490" t="n">
        <v>221</v>
      </c>
      <c r="AB490" t="n">
        <v>168</v>
      </c>
      <c r="AC490" t="n">
        <v>175</v>
      </c>
      <c r="AD490" t="n">
        <v>1</v>
      </c>
      <c r="AE490" t="n">
        <v>1</v>
      </c>
      <c r="AF490" t="n">
        <v>7</v>
      </c>
      <c r="AG490" t="n">
        <v>7</v>
      </c>
      <c r="AH490" t="n">
        <v>1</v>
      </c>
      <c r="AI490" t="n">
        <v>1</v>
      </c>
      <c r="AJ490" t="n">
        <v>2</v>
      </c>
      <c r="AK490" t="n">
        <v>2</v>
      </c>
      <c r="AL490" t="n">
        <v>5</v>
      </c>
      <c r="AM490" t="n">
        <v>5</v>
      </c>
      <c r="AN490" t="n">
        <v>0</v>
      </c>
      <c r="AO490" t="n">
        <v>0</v>
      </c>
      <c r="AP490" t="n">
        <v>0</v>
      </c>
      <c r="AQ490" t="n">
        <v>0</v>
      </c>
      <c r="AR490" t="inlineStr">
        <is>
          <t>No</t>
        </is>
      </c>
      <c r="AS490" t="inlineStr">
        <is>
          <t>Yes</t>
        </is>
      </c>
      <c r="AT490">
        <f>HYPERLINK("http://catalog.hathitrust.org/Record/000043437","HathiTrust Record")</f>
        <v/>
      </c>
      <c r="AU490">
        <f>HYPERLINK("https://creighton-primo.hosted.exlibrisgroup.com/primo-explore/search?tab=default_tab&amp;search_scope=EVERYTHING&amp;vid=01CRU&amp;lang=en_US&amp;offset=0&amp;query=any,contains,991004685669702656","Catalog Record")</f>
        <v/>
      </c>
      <c r="AV490">
        <f>HYPERLINK("http://www.worldcat.org/oclc/4592281","WorldCat Record")</f>
        <v/>
      </c>
      <c r="AW490" t="inlineStr">
        <is>
          <t>14922698:spa</t>
        </is>
      </c>
      <c r="AX490" t="inlineStr">
        <is>
          <t>4592281</t>
        </is>
      </c>
      <c r="AY490" t="inlineStr">
        <is>
          <t>991004685669702656</t>
        </is>
      </c>
      <c r="AZ490" t="inlineStr">
        <is>
          <t>991004685669702656</t>
        </is>
      </c>
      <c r="BA490" t="inlineStr">
        <is>
          <t>2272622710002656</t>
        </is>
      </c>
      <c r="BB490" t="inlineStr">
        <is>
          <t>BOOK</t>
        </is>
      </c>
      <c r="BD490" t="inlineStr">
        <is>
          <t>9788434483323</t>
        </is>
      </c>
      <c r="BE490" t="inlineStr">
        <is>
          <t>32285000598739</t>
        </is>
      </c>
      <c r="BF490" t="inlineStr">
        <is>
          <t>893338003</t>
        </is>
      </c>
    </row>
    <row r="491">
      <c r="A491" t="inlineStr">
        <is>
          <t>No</t>
        </is>
      </c>
      <c r="B491" t="inlineStr">
        <is>
          <t>CURAL</t>
        </is>
      </c>
      <c r="C491" t="inlineStr">
        <is>
          <t>SHELVES</t>
        </is>
      </c>
      <c r="D491" t="inlineStr">
        <is>
          <t>PQ6089 .H375 2001</t>
        </is>
      </c>
      <c r="E491" t="inlineStr">
        <is>
          <t>0                      PQ 6089000H  375         2001</t>
        </is>
      </c>
      <c r="F491" t="inlineStr">
        <is>
          <t>Kinship and marriage in medieval hispanic chivalric romance / by Michael Harney.</t>
        </is>
      </c>
      <c r="H491" t="inlineStr">
        <is>
          <t>No</t>
        </is>
      </c>
      <c r="I491" t="inlineStr">
        <is>
          <t>1</t>
        </is>
      </c>
      <c r="J491" t="inlineStr">
        <is>
          <t>No</t>
        </is>
      </c>
      <c r="K491" t="inlineStr">
        <is>
          <t>No</t>
        </is>
      </c>
      <c r="L491" t="inlineStr">
        <is>
          <t>0</t>
        </is>
      </c>
      <c r="M491" t="inlineStr">
        <is>
          <t>Harney, Michael, 1948-</t>
        </is>
      </c>
      <c r="N491" t="inlineStr">
        <is>
          <t>Turnhout : Brepols, 2001.</t>
        </is>
      </c>
      <c r="O491" t="inlineStr">
        <is>
          <t>2001</t>
        </is>
      </c>
      <c r="Q491" t="inlineStr">
        <is>
          <t>eng</t>
        </is>
      </c>
      <c r="R491" t="inlineStr">
        <is>
          <t xml:space="preserve">be </t>
        </is>
      </c>
      <c r="S491" t="inlineStr">
        <is>
          <t>Westfield publications in medieval and Renaissance studies, 0269-9699 ; 11</t>
        </is>
      </c>
      <c r="T491" t="inlineStr">
        <is>
          <t xml:space="preserve">PQ </t>
        </is>
      </c>
      <c r="U491" t="n">
        <v>1</v>
      </c>
      <c r="V491" t="n">
        <v>1</v>
      </c>
      <c r="W491" t="inlineStr">
        <is>
          <t>2004-01-06</t>
        </is>
      </c>
      <c r="X491" t="inlineStr">
        <is>
          <t>2004-01-06</t>
        </is>
      </c>
      <c r="Y491" t="inlineStr">
        <is>
          <t>2004-01-06</t>
        </is>
      </c>
      <c r="Z491" t="inlineStr">
        <is>
          <t>2004-01-06</t>
        </is>
      </c>
      <c r="AA491" t="n">
        <v>120</v>
      </c>
      <c r="AB491" t="n">
        <v>91</v>
      </c>
      <c r="AC491" t="n">
        <v>93</v>
      </c>
      <c r="AD491" t="n">
        <v>2</v>
      </c>
      <c r="AE491" t="n">
        <v>2</v>
      </c>
      <c r="AF491" t="n">
        <v>7</v>
      </c>
      <c r="AG491" t="n">
        <v>7</v>
      </c>
      <c r="AH491" t="n">
        <v>0</v>
      </c>
      <c r="AI491" t="n">
        <v>0</v>
      </c>
      <c r="AJ491" t="n">
        <v>3</v>
      </c>
      <c r="AK491" t="n">
        <v>3</v>
      </c>
      <c r="AL491" t="n">
        <v>5</v>
      </c>
      <c r="AM491" t="n">
        <v>5</v>
      </c>
      <c r="AN491" t="n">
        <v>1</v>
      </c>
      <c r="AO491" t="n">
        <v>1</v>
      </c>
      <c r="AP491" t="n">
        <v>0</v>
      </c>
      <c r="AQ491" t="n">
        <v>0</v>
      </c>
      <c r="AR491" t="inlineStr">
        <is>
          <t>No</t>
        </is>
      </c>
      <c r="AS491" t="inlineStr">
        <is>
          <t>Yes</t>
        </is>
      </c>
      <c r="AT491">
        <f>HYPERLINK("http://catalog.hathitrust.org/Record/004198922","HathiTrust Record")</f>
        <v/>
      </c>
      <c r="AU491">
        <f>HYPERLINK("https://creighton-primo.hosted.exlibrisgroup.com/primo-explore/search?tab=default_tab&amp;search_scope=EVERYTHING&amp;vid=01CRU&amp;lang=en_US&amp;offset=0&amp;query=any,contains,991004151989702656","Catalog Record")</f>
        <v/>
      </c>
      <c r="AV491">
        <f>HYPERLINK("http://www.worldcat.org/oclc/46692661","WorldCat Record")</f>
        <v/>
      </c>
      <c r="AW491" t="inlineStr">
        <is>
          <t>1072133:eng</t>
        </is>
      </c>
      <c r="AX491" t="inlineStr">
        <is>
          <t>46692661</t>
        </is>
      </c>
      <c r="AY491" t="inlineStr">
        <is>
          <t>991004151989702656</t>
        </is>
      </c>
      <c r="AZ491" t="inlineStr">
        <is>
          <t>991004151989702656</t>
        </is>
      </c>
      <c r="BA491" t="inlineStr">
        <is>
          <t>2262007340002656</t>
        </is>
      </c>
      <c r="BB491" t="inlineStr">
        <is>
          <t>BOOK</t>
        </is>
      </c>
      <c r="BD491" t="inlineStr">
        <is>
          <t>9782503509105</t>
        </is>
      </c>
      <c r="BE491" t="inlineStr">
        <is>
          <t>32285004849526</t>
        </is>
      </c>
      <c r="BF491" t="inlineStr">
        <is>
          <t>893894622</t>
        </is>
      </c>
    </row>
    <row r="492">
      <c r="A492" t="inlineStr">
        <is>
          <t>No</t>
        </is>
      </c>
      <c r="B492" t="inlineStr">
        <is>
          <t>CURAL</t>
        </is>
      </c>
      <c r="C492" t="inlineStr">
        <is>
          <t>SHELVES</t>
        </is>
      </c>
      <c r="D492" t="inlineStr">
        <is>
          <t>PQ6089 .R53 1989</t>
        </is>
      </c>
      <c r="E492" t="inlineStr">
        <is>
          <t>0                      PQ 6089000R  53          1989</t>
        </is>
      </c>
      <c r="F492" t="inlineStr">
        <is>
          <t>La metamorfosis de la epica medieval / Erich von Richthofen.</t>
        </is>
      </c>
      <c r="H492" t="inlineStr">
        <is>
          <t>No</t>
        </is>
      </c>
      <c r="I492" t="inlineStr">
        <is>
          <t>1</t>
        </is>
      </c>
      <c r="J492" t="inlineStr">
        <is>
          <t>No</t>
        </is>
      </c>
      <c r="K492" t="inlineStr">
        <is>
          <t>No</t>
        </is>
      </c>
      <c r="L492" t="inlineStr">
        <is>
          <t>0</t>
        </is>
      </c>
      <c r="M492" t="inlineStr">
        <is>
          <t>Richthofen, Erich, Freiherr von.</t>
        </is>
      </c>
      <c r="N492" t="inlineStr">
        <is>
          <t>Madrid : Fundación Universitaria Española ; 1989.</t>
        </is>
      </c>
      <c r="O492" t="inlineStr">
        <is>
          <t>1989</t>
        </is>
      </c>
      <c r="Q492" t="inlineStr">
        <is>
          <t>spa</t>
        </is>
      </c>
      <c r="R492" t="inlineStr">
        <is>
          <t xml:space="preserve">sp </t>
        </is>
      </c>
      <c r="S492" t="inlineStr">
        <is>
          <t>Publicaciones de la Fundación Universitaria Española. Monografías ; 50</t>
        </is>
      </c>
      <c r="T492" t="inlineStr">
        <is>
          <t xml:space="preserve">PQ </t>
        </is>
      </c>
      <c r="U492" t="n">
        <v>4</v>
      </c>
      <c r="V492" t="n">
        <v>4</v>
      </c>
      <c r="W492" t="inlineStr">
        <is>
          <t>2000-10-18</t>
        </is>
      </c>
      <c r="X492" t="inlineStr">
        <is>
          <t>2000-10-18</t>
        </is>
      </c>
      <c r="Y492" t="inlineStr">
        <is>
          <t>1991-04-24</t>
        </is>
      </c>
      <c r="Z492" t="inlineStr">
        <is>
          <t>1991-04-24</t>
        </is>
      </c>
      <c r="AA492" t="n">
        <v>99</v>
      </c>
      <c r="AB492" t="n">
        <v>69</v>
      </c>
      <c r="AC492" t="n">
        <v>69</v>
      </c>
      <c r="AD492" t="n">
        <v>1</v>
      </c>
      <c r="AE492" t="n">
        <v>1</v>
      </c>
      <c r="AF492" t="n">
        <v>4</v>
      </c>
      <c r="AG492" t="n">
        <v>4</v>
      </c>
      <c r="AH492" t="n">
        <v>1</v>
      </c>
      <c r="AI492" t="n">
        <v>1</v>
      </c>
      <c r="AJ492" t="n">
        <v>3</v>
      </c>
      <c r="AK492" t="n">
        <v>3</v>
      </c>
      <c r="AL492" t="n">
        <v>3</v>
      </c>
      <c r="AM492" t="n">
        <v>3</v>
      </c>
      <c r="AN492" t="n">
        <v>0</v>
      </c>
      <c r="AO492" t="n">
        <v>0</v>
      </c>
      <c r="AP492" t="n">
        <v>0</v>
      </c>
      <c r="AQ492" t="n">
        <v>0</v>
      </c>
      <c r="AR492" t="inlineStr">
        <is>
          <t>No</t>
        </is>
      </c>
      <c r="AS492" t="inlineStr">
        <is>
          <t>No</t>
        </is>
      </c>
      <c r="AU492">
        <f>HYPERLINK("https://creighton-primo.hosted.exlibrisgroup.com/primo-explore/search?tab=default_tab&amp;search_scope=EVERYTHING&amp;vid=01CRU&amp;lang=en_US&amp;offset=0&amp;query=any,contains,991001655579702656","Catalog Record")</f>
        <v/>
      </c>
      <c r="AV492">
        <f>HYPERLINK("http://www.worldcat.org/oclc/21123166","WorldCat Record")</f>
        <v/>
      </c>
      <c r="AW492" t="inlineStr">
        <is>
          <t>351293924:spa</t>
        </is>
      </c>
      <c r="AX492" t="inlineStr">
        <is>
          <t>21123166</t>
        </is>
      </c>
      <c r="AY492" t="inlineStr">
        <is>
          <t>991001655579702656</t>
        </is>
      </c>
      <c r="AZ492" t="inlineStr">
        <is>
          <t>991001655579702656</t>
        </is>
      </c>
      <c r="BA492" t="inlineStr">
        <is>
          <t>2262683120002656</t>
        </is>
      </c>
      <c r="BB492" t="inlineStr">
        <is>
          <t>BOOK</t>
        </is>
      </c>
      <c r="BD492" t="inlineStr">
        <is>
          <t>9788473923101</t>
        </is>
      </c>
      <c r="BE492" t="inlineStr">
        <is>
          <t>32285000569052</t>
        </is>
      </c>
      <c r="BF492" t="inlineStr">
        <is>
          <t>893432987</t>
        </is>
      </c>
    </row>
    <row r="493">
      <c r="A493" t="inlineStr">
        <is>
          <t>No</t>
        </is>
      </c>
      <c r="B493" t="inlineStr">
        <is>
          <t>CURAL</t>
        </is>
      </c>
      <c r="C493" t="inlineStr">
        <is>
          <t>SHELVES</t>
        </is>
      </c>
      <c r="D493" t="inlineStr">
        <is>
          <t>PQ6090 .R5</t>
        </is>
      </c>
      <c r="E493" t="inlineStr">
        <is>
          <t>0                      PQ 6090000R  5</t>
        </is>
      </c>
      <c r="F493" t="inlineStr">
        <is>
          <t>Nuevos estudios épicos medievales / Erich von Richthofen.</t>
        </is>
      </c>
      <c r="H493" t="inlineStr">
        <is>
          <t>No</t>
        </is>
      </c>
      <c r="I493" t="inlineStr">
        <is>
          <t>1</t>
        </is>
      </c>
      <c r="J493" t="inlineStr">
        <is>
          <t>No</t>
        </is>
      </c>
      <c r="K493" t="inlineStr">
        <is>
          <t>No</t>
        </is>
      </c>
      <c r="L493" t="inlineStr">
        <is>
          <t>0</t>
        </is>
      </c>
      <c r="M493" t="inlineStr">
        <is>
          <t>Richthofen, Erich, Freiherr von.</t>
        </is>
      </c>
      <c r="N493" t="inlineStr">
        <is>
          <t>Madrid : Editorial Gredos, c1970.</t>
        </is>
      </c>
      <c r="O493" t="inlineStr">
        <is>
          <t>1970</t>
        </is>
      </c>
      <c r="Q493" t="inlineStr">
        <is>
          <t>spa</t>
        </is>
      </c>
      <c r="R493" t="inlineStr">
        <is>
          <t xml:space="preserve">sp </t>
        </is>
      </c>
      <c r="S493" t="inlineStr">
        <is>
          <t>Biblioteca románica hispánica. II, Estudios y ensayos ; 138</t>
        </is>
      </c>
      <c r="T493" t="inlineStr">
        <is>
          <t xml:space="preserve">PQ </t>
        </is>
      </c>
      <c r="U493" t="n">
        <v>5</v>
      </c>
      <c r="V493" t="n">
        <v>5</v>
      </c>
      <c r="W493" t="inlineStr">
        <is>
          <t>2000-10-18</t>
        </is>
      </c>
      <c r="X493" t="inlineStr">
        <is>
          <t>2000-10-18</t>
        </is>
      </c>
      <c r="Y493" t="inlineStr">
        <is>
          <t>1997-06-26</t>
        </is>
      </c>
      <c r="Z493" t="inlineStr">
        <is>
          <t>1997-06-26</t>
        </is>
      </c>
      <c r="AA493" t="n">
        <v>295</v>
      </c>
      <c r="AB493" t="n">
        <v>220</v>
      </c>
      <c r="AC493" t="n">
        <v>223</v>
      </c>
      <c r="AD493" t="n">
        <v>3</v>
      </c>
      <c r="AE493" t="n">
        <v>3</v>
      </c>
      <c r="AF493" t="n">
        <v>10</v>
      </c>
      <c r="AG493" t="n">
        <v>10</v>
      </c>
      <c r="AH493" t="n">
        <v>1</v>
      </c>
      <c r="AI493" t="n">
        <v>1</v>
      </c>
      <c r="AJ493" t="n">
        <v>2</v>
      </c>
      <c r="AK493" t="n">
        <v>2</v>
      </c>
      <c r="AL493" t="n">
        <v>6</v>
      </c>
      <c r="AM493" t="n">
        <v>6</v>
      </c>
      <c r="AN493" t="n">
        <v>2</v>
      </c>
      <c r="AO493" t="n">
        <v>2</v>
      </c>
      <c r="AP493" t="n">
        <v>0</v>
      </c>
      <c r="AQ493" t="n">
        <v>0</v>
      </c>
      <c r="AR493" t="inlineStr">
        <is>
          <t>No</t>
        </is>
      </c>
      <c r="AS493" t="inlineStr">
        <is>
          <t>Yes</t>
        </is>
      </c>
      <c r="AT493">
        <f>HYPERLINK("http://catalog.hathitrust.org/Record/002642060","HathiTrust Record")</f>
        <v/>
      </c>
      <c r="AU493">
        <f>HYPERLINK("https://creighton-primo.hosted.exlibrisgroup.com/primo-explore/search?tab=default_tab&amp;search_scope=EVERYTHING&amp;vid=01CRU&amp;lang=en_US&amp;offset=0&amp;query=any,contains,991002380499702656","Catalog Record")</f>
        <v/>
      </c>
      <c r="AV493">
        <f>HYPERLINK("http://www.worldcat.org/oclc/328239","WorldCat Record")</f>
        <v/>
      </c>
      <c r="AW493" t="inlineStr">
        <is>
          <t>118796051:spa</t>
        </is>
      </c>
      <c r="AX493" t="inlineStr">
        <is>
          <t>328239</t>
        </is>
      </c>
      <c r="AY493" t="inlineStr">
        <is>
          <t>991002380499702656</t>
        </is>
      </c>
      <c r="AZ493" t="inlineStr">
        <is>
          <t>991002380499702656</t>
        </is>
      </c>
      <c r="BA493" t="inlineStr">
        <is>
          <t>2271499910002656</t>
        </is>
      </c>
      <c r="BB493" t="inlineStr">
        <is>
          <t>BOOK</t>
        </is>
      </c>
      <c r="BE493" t="inlineStr">
        <is>
          <t>32285002516689</t>
        </is>
      </c>
      <c r="BF493" t="inlineStr">
        <is>
          <t>893504335</t>
        </is>
      </c>
    </row>
    <row r="494">
      <c r="A494" t="inlineStr">
        <is>
          <t>No</t>
        </is>
      </c>
      <c r="B494" t="inlineStr">
        <is>
          <t>CURAL</t>
        </is>
      </c>
      <c r="C494" t="inlineStr">
        <is>
          <t>SHELVES</t>
        </is>
      </c>
      <c r="D494" t="inlineStr">
        <is>
          <t>PQ6098.I35 C37 1982</t>
        </is>
      </c>
      <c r="E494" t="inlineStr">
        <is>
          <t>0                      PQ 6098000I  35                 C  37          1982</t>
        </is>
      </c>
      <c r="F494" t="inlineStr">
        <is>
          <t>La dialaectica de la identidad en la poesaia contemporaanea : la persona, la maascara / Antonio Carreano.</t>
        </is>
      </c>
      <c r="H494" t="inlineStr">
        <is>
          <t>No</t>
        </is>
      </c>
      <c r="I494" t="inlineStr">
        <is>
          <t>1</t>
        </is>
      </c>
      <c r="J494" t="inlineStr">
        <is>
          <t>No</t>
        </is>
      </c>
      <c r="K494" t="inlineStr">
        <is>
          <t>No</t>
        </is>
      </c>
      <c r="L494" t="inlineStr">
        <is>
          <t>0</t>
        </is>
      </c>
      <c r="M494" t="inlineStr">
        <is>
          <t>Carreano, Antonio.</t>
        </is>
      </c>
      <c r="N494" t="inlineStr">
        <is>
          <t>Madrid : Gredos, c1982.</t>
        </is>
      </c>
      <c r="O494" t="inlineStr">
        <is>
          <t>1982</t>
        </is>
      </c>
      <c r="Q494" t="inlineStr">
        <is>
          <t>spa</t>
        </is>
      </c>
      <c r="R494" t="inlineStr">
        <is>
          <t xml:space="preserve">sp </t>
        </is>
      </c>
      <c r="S494" t="inlineStr">
        <is>
          <t>Biblioteca romaanica hispaanica. II, Estudios y ensayos ; 317</t>
        </is>
      </c>
      <c r="T494" t="inlineStr">
        <is>
          <t xml:space="preserve">PQ </t>
        </is>
      </c>
      <c r="U494" t="n">
        <v>1</v>
      </c>
      <c r="V494" t="n">
        <v>1</v>
      </c>
      <c r="W494" t="inlineStr">
        <is>
          <t>2004-08-03</t>
        </is>
      </c>
      <c r="X494" t="inlineStr">
        <is>
          <t>2004-08-03</t>
        </is>
      </c>
      <c r="Y494" t="inlineStr">
        <is>
          <t>2004-08-03</t>
        </is>
      </c>
      <c r="Z494" t="inlineStr">
        <is>
          <t>2004-08-03</t>
        </is>
      </c>
      <c r="AA494" t="n">
        <v>297</v>
      </c>
      <c r="AB494" t="n">
        <v>251</v>
      </c>
      <c r="AC494" t="n">
        <v>253</v>
      </c>
      <c r="AD494" t="n">
        <v>3</v>
      </c>
      <c r="AE494" t="n">
        <v>3</v>
      </c>
      <c r="AF494" t="n">
        <v>13</v>
      </c>
      <c r="AG494" t="n">
        <v>13</v>
      </c>
      <c r="AH494" t="n">
        <v>5</v>
      </c>
      <c r="AI494" t="n">
        <v>5</v>
      </c>
      <c r="AJ494" t="n">
        <v>3</v>
      </c>
      <c r="AK494" t="n">
        <v>3</v>
      </c>
      <c r="AL494" t="n">
        <v>6</v>
      </c>
      <c r="AM494" t="n">
        <v>6</v>
      </c>
      <c r="AN494" t="n">
        <v>2</v>
      </c>
      <c r="AO494" t="n">
        <v>2</v>
      </c>
      <c r="AP494" t="n">
        <v>0</v>
      </c>
      <c r="AQ494" t="n">
        <v>0</v>
      </c>
      <c r="AR494" t="inlineStr">
        <is>
          <t>No</t>
        </is>
      </c>
      <c r="AS494" t="inlineStr">
        <is>
          <t>Yes</t>
        </is>
      </c>
      <c r="AT494">
        <f>HYPERLINK("http://catalog.hathitrust.org/Record/000160604","HathiTrust Record")</f>
        <v/>
      </c>
      <c r="AU494">
        <f>HYPERLINK("https://creighton-primo.hosted.exlibrisgroup.com/primo-explore/search?tab=default_tab&amp;search_scope=EVERYTHING&amp;vid=01CRU&amp;lang=en_US&amp;offset=0&amp;query=any,contains,991004335109702656","Catalog Record")</f>
        <v/>
      </c>
      <c r="AV494">
        <f>HYPERLINK("http://www.worldcat.org/oclc/9018739","WorldCat Record")</f>
        <v/>
      </c>
      <c r="AW494" t="inlineStr">
        <is>
          <t>429358184:spa</t>
        </is>
      </c>
      <c r="AX494" t="inlineStr">
        <is>
          <t>9018739</t>
        </is>
      </c>
      <c r="AY494" t="inlineStr">
        <is>
          <t>991004335109702656</t>
        </is>
      </c>
      <c r="AZ494" t="inlineStr">
        <is>
          <t>991004335109702656</t>
        </is>
      </c>
      <c r="BA494" t="inlineStr">
        <is>
          <t>2258896940002656</t>
        </is>
      </c>
      <c r="BB494" t="inlineStr">
        <is>
          <t>BOOK</t>
        </is>
      </c>
      <c r="BD494" t="inlineStr">
        <is>
          <t>9788424901714</t>
        </is>
      </c>
      <c r="BE494" t="inlineStr">
        <is>
          <t>32285004927579</t>
        </is>
      </c>
      <c r="BF494" t="inlineStr">
        <is>
          <t>893624612</t>
        </is>
      </c>
    </row>
    <row r="495">
      <c r="A495" t="inlineStr">
        <is>
          <t>No</t>
        </is>
      </c>
      <c r="B495" t="inlineStr">
        <is>
          <t>CURAL</t>
        </is>
      </c>
      <c r="C495" t="inlineStr">
        <is>
          <t>SHELVES</t>
        </is>
      </c>
      <c r="D495" t="inlineStr">
        <is>
          <t>PQ6099 .R8 1996</t>
        </is>
      </c>
      <c r="E495" t="inlineStr">
        <is>
          <t>0                      PQ 6099000R  8           1996</t>
        </is>
      </c>
      <c r="F495" t="inlineStr">
        <is>
          <t>Historia del teatro espaanol. Desde sus oraigenes hasta 1900 / Francisco Ruiz Ramaon.</t>
        </is>
      </c>
      <c r="H495" t="inlineStr">
        <is>
          <t>No</t>
        </is>
      </c>
      <c r="I495" t="inlineStr">
        <is>
          <t>1</t>
        </is>
      </c>
      <c r="J495" t="inlineStr">
        <is>
          <t>No</t>
        </is>
      </c>
      <c r="K495" t="inlineStr">
        <is>
          <t>No</t>
        </is>
      </c>
      <c r="L495" t="inlineStr">
        <is>
          <t>0</t>
        </is>
      </c>
      <c r="M495" t="inlineStr">
        <is>
          <t>Ruiz Ramaon, Francisco.</t>
        </is>
      </c>
      <c r="N495" t="inlineStr">
        <is>
          <t>Madrid : Caatedra, c1996.</t>
        </is>
      </c>
      <c r="O495" t="inlineStr">
        <is>
          <t>1996</t>
        </is>
      </c>
      <c r="P495" t="inlineStr">
        <is>
          <t>9. ed.</t>
        </is>
      </c>
      <c r="Q495" t="inlineStr">
        <is>
          <t>spa</t>
        </is>
      </c>
      <c r="R495" t="inlineStr">
        <is>
          <t xml:space="preserve">sp </t>
        </is>
      </c>
      <c r="S495" t="inlineStr">
        <is>
          <t>Craitica y estudios literarios</t>
        </is>
      </c>
      <c r="T495" t="inlineStr">
        <is>
          <t xml:space="preserve">PQ </t>
        </is>
      </c>
      <c r="U495" t="n">
        <v>1</v>
      </c>
      <c r="V495" t="n">
        <v>1</v>
      </c>
      <c r="W495" t="inlineStr">
        <is>
          <t>2004-04-22</t>
        </is>
      </c>
      <c r="X495" t="inlineStr">
        <is>
          <t>2004-04-22</t>
        </is>
      </c>
      <c r="Y495" t="inlineStr">
        <is>
          <t>2004-04-22</t>
        </is>
      </c>
      <c r="Z495" t="inlineStr">
        <is>
          <t>2004-04-22</t>
        </is>
      </c>
      <c r="AA495" t="n">
        <v>16</v>
      </c>
      <c r="AB495" t="n">
        <v>14</v>
      </c>
      <c r="AC495" t="n">
        <v>118</v>
      </c>
      <c r="AD495" t="n">
        <v>1</v>
      </c>
      <c r="AE495" t="n">
        <v>1</v>
      </c>
      <c r="AF495" t="n">
        <v>1</v>
      </c>
      <c r="AG495" t="n">
        <v>5</v>
      </c>
      <c r="AH495" t="n">
        <v>1</v>
      </c>
      <c r="AI495" t="n">
        <v>4</v>
      </c>
      <c r="AJ495" t="n">
        <v>0</v>
      </c>
      <c r="AK495" t="n">
        <v>1</v>
      </c>
      <c r="AL495" t="n">
        <v>0</v>
      </c>
      <c r="AM495" t="n">
        <v>2</v>
      </c>
      <c r="AN495" t="n">
        <v>0</v>
      </c>
      <c r="AO495" t="n">
        <v>0</v>
      </c>
      <c r="AP495" t="n">
        <v>0</v>
      </c>
      <c r="AQ495" t="n">
        <v>0</v>
      </c>
      <c r="AR495" t="inlineStr">
        <is>
          <t>No</t>
        </is>
      </c>
      <c r="AS495" t="inlineStr">
        <is>
          <t>No</t>
        </is>
      </c>
      <c r="AU495">
        <f>HYPERLINK("https://creighton-primo.hosted.exlibrisgroup.com/primo-explore/search?tab=default_tab&amp;search_scope=EVERYTHING&amp;vid=01CRU&amp;lang=en_US&amp;offset=0&amp;query=any,contains,991004026019702656","Catalog Record")</f>
        <v/>
      </c>
      <c r="AV495">
        <f>HYPERLINK("http://www.worldcat.org/oclc/36564210","WorldCat Record")</f>
        <v/>
      </c>
      <c r="AW495" t="inlineStr">
        <is>
          <t>2452516225:spa</t>
        </is>
      </c>
      <c r="AX495" t="inlineStr">
        <is>
          <t>36564210</t>
        </is>
      </c>
      <c r="AY495" t="inlineStr">
        <is>
          <t>991004026019702656</t>
        </is>
      </c>
      <c r="AZ495" t="inlineStr">
        <is>
          <t>991004026019702656</t>
        </is>
      </c>
      <c r="BA495" t="inlineStr">
        <is>
          <t>2266069940002656</t>
        </is>
      </c>
      <c r="BB495" t="inlineStr">
        <is>
          <t>BOOK</t>
        </is>
      </c>
      <c r="BD495" t="inlineStr">
        <is>
          <t>9788437601908</t>
        </is>
      </c>
      <c r="BE495" t="inlineStr">
        <is>
          <t>32285004902390</t>
        </is>
      </c>
      <c r="BF495" t="inlineStr">
        <is>
          <t>893324841</t>
        </is>
      </c>
    </row>
    <row r="496">
      <c r="A496" t="inlineStr">
        <is>
          <t>No</t>
        </is>
      </c>
      <c r="B496" t="inlineStr">
        <is>
          <t>CURAL</t>
        </is>
      </c>
      <c r="C496" t="inlineStr">
        <is>
          <t>SHELVES</t>
        </is>
      </c>
      <c r="D496" t="inlineStr">
        <is>
          <t>PQ6101.B8 T7</t>
        </is>
      </c>
      <c r="E496" t="inlineStr">
        <is>
          <t>0                      PQ 6101000B  8                  T  7</t>
        </is>
      </c>
      <c r="F496" t="inlineStr">
        <is>
          <t>Tres maestros ante el público (Valle-Inclán, Velásquez, Lorca).</t>
        </is>
      </c>
      <c r="H496" t="inlineStr">
        <is>
          <t>No</t>
        </is>
      </c>
      <c r="I496" t="inlineStr">
        <is>
          <t>1</t>
        </is>
      </c>
      <c r="J496" t="inlineStr">
        <is>
          <t>No</t>
        </is>
      </c>
      <c r="K496" t="inlineStr">
        <is>
          <t>No</t>
        </is>
      </c>
      <c r="L496" t="inlineStr">
        <is>
          <t>0</t>
        </is>
      </c>
      <c r="M496" t="inlineStr">
        <is>
          <t>Buero Vallejo, Antonio, 1916-2000.</t>
        </is>
      </c>
      <c r="N496" t="inlineStr">
        <is>
          <t>Madrid, Alianza Editorial [1973]</t>
        </is>
      </c>
      <c r="O496" t="inlineStr">
        <is>
          <t>1973</t>
        </is>
      </c>
      <c r="Q496" t="inlineStr">
        <is>
          <t>spa</t>
        </is>
      </c>
      <c r="R496" t="inlineStr">
        <is>
          <t xml:space="preserve">sp </t>
        </is>
      </c>
      <c r="S496" t="inlineStr">
        <is>
          <t>El Libro de bolsillo, 442. Sección: Literatura</t>
        </is>
      </c>
      <c r="T496" t="inlineStr">
        <is>
          <t xml:space="preserve">PQ </t>
        </is>
      </c>
      <c r="U496" t="n">
        <v>1</v>
      </c>
      <c r="V496" t="n">
        <v>1</v>
      </c>
      <c r="W496" t="inlineStr">
        <is>
          <t>2003-11-18</t>
        </is>
      </c>
      <c r="X496" t="inlineStr">
        <is>
          <t>2003-11-18</t>
        </is>
      </c>
      <c r="Y496" t="inlineStr">
        <is>
          <t>1997-06-26</t>
        </is>
      </c>
      <c r="Z496" t="inlineStr">
        <is>
          <t>1997-06-26</t>
        </is>
      </c>
      <c r="AA496" t="n">
        <v>291</v>
      </c>
      <c r="AB496" t="n">
        <v>221</v>
      </c>
      <c r="AC496" t="n">
        <v>228</v>
      </c>
      <c r="AD496" t="n">
        <v>2</v>
      </c>
      <c r="AE496" t="n">
        <v>2</v>
      </c>
      <c r="AF496" t="n">
        <v>14</v>
      </c>
      <c r="AG496" t="n">
        <v>14</v>
      </c>
      <c r="AH496" t="n">
        <v>2</v>
      </c>
      <c r="AI496" t="n">
        <v>2</v>
      </c>
      <c r="AJ496" t="n">
        <v>5</v>
      </c>
      <c r="AK496" t="n">
        <v>5</v>
      </c>
      <c r="AL496" t="n">
        <v>8</v>
      </c>
      <c r="AM496" t="n">
        <v>8</v>
      </c>
      <c r="AN496" t="n">
        <v>1</v>
      </c>
      <c r="AO496" t="n">
        <v>1</v>
      </c>
      <c r="AP496" t="n">
        <v>0</v>
      </c>
      <c r="AQ496" t="n">
        <v>0</v>
      </c>
      <c r="AR496" t="inlineStr">
        <is>
          <t>No</t>
        </is>
      </c>
      <c r="AS496" t="inlineStr">
        <is>
          <t>Yes</t>
        </is>
      </c>
      <c r="AT496">
        <f>HYPERLINK("http://catalog.hathitrust.org/Record/001056359","HathiTrust Record")</f>
        <v/>
      </c>
      <c r="AU496">
        <f>HYPERLINK("https://creighton-primo.hosted.exlibrisgroup.com/primo-explore/search?tab=default_tab&amp;search_scope=EVERYTHING&amp;vid=01CRU&amp;lang=en_US&amp;offset=0&amp;query=any,contains,991003233549702656","Catalog Record")</f>
        <v/>
      </c>
      <c r="AV496">
        <f>HYPERLINK("http://www.worldcat.org/oclc/757992","WorldCat Record")</f>
        <v/>
      </c>
      <c r="AW496" t="inlineStr">
        <is>
          <t>318760573:spa</t>
        </is>
      </c>
      <c r="AX496" t="inlineStr">
        <is>
          <t>757992</t>
        </is>
      </c>
      <c r="AY496" t="inlineStr">
        <is>
          <t>991003233549702656</t>
        </is>
      </c>
      <c r="AZ496" t="inlineStr">
        <is>
          <t>991003233549702656</t>
        </is>
      </c>
      <c r="BA496" t="inlineStr">
        <is>
          <t>2272598590002656</t>
        </is>
      </c>
      <c r="BB496" t="inlineStr">
        <is>
          <t>BOOK</t>
        </is>
      </c>
      <c r="BD496" t="inlineStr">
        <is>
          <t>9788420614427</t>
        </is>
      </c>
      <c r="BE496" t="inlineStr">
        <is>
          <t>32285002516762</t>
        </is>
      </c>
      <c r="BF496" t="inlineStr">
        <is>
          <t>893323898</t>
        </is>
      </c>
    </row>
    <row r="497">
      <c r="A497" t="inlineStr">
        <is>
          <t>No</t>
        </is>
      </c>
      <c r="B497" t="inlineStr">
        <is>
          <t>CURAL</t>
        </is>
      </c>
      <c r="C497" t="inlineStr">
        <is>
          <t>SHELVES</t>
        </is>
      </c>
      <c r="D497" t="inlineStr">
        <is>
          <t>PQ6104 .L2 1970</t>
        </is>
      </c>
      <c r="E497" t="inlineStr">
        <is>
          <t>0                      PQ 6104000L  2           1970</t>
        </is>
      </c>
      <c r="F497" t="inlineStr">
        <is>
          <t>Teatro medieval / textos integros en version del D. Fernando Lazaro Carreter.</t>
        </is>
      </c>
      <c r="H497" t="inlineStr">
        <is>
          <t>No</t>
        </is>
      </c>
      <c r="I497" t="inlineStr">
        <is>
          <t>1</t>
        </is>
      </c>
      <c r="J497" t="inlineStr">
        <is>
          <t>No</t>
        </is>
      </c>
      <c r="K497" t="inlineStr">
        <is>
          <t>No</t>
        </is>
      </c>
      <c r="L497" t="inlineStr">
        <is>
          <t>0</t>
        </is>
      </c>
      <c r="M497" t="inlineStr">
        <is>
          <t>Lázaro Carreter, Fernando, editor.</t>
        </is>
      </c>
      <c r="N497" t="inlineStr">
        <is>
          <t>[Madrid] : Editorial Castalia, 1970.</t>
        </is>
      </c>
      <c r="O497" t="inlineStr">
        <is>
          <t>1970</t>
        </is>
      </c>
      <c r="P497" t="inlineStr">
        <is>
          <t>3. ed.</t>
        </is>
      </c>
      <c r="Q497" t="inlineStr">
        <is>
          <t>spa</t>
        </is>
      </c>
      <c r="R497" t="inlineStr">
        <is>
          <t xml:space="preserve">sp </t>
        </is>
      </c>
      <c r="S497" t="inlineStr">
        <is>
          <t>Odres nuevos</t>
        </is>
      </c>
      <c r="T497" t="inlineStr">
        <is>
          <t xml:space="preserve">PQ </t>
        </is>
      </c>
      <c r="U497" t="n">
        <v>1</v>
      </c>
      <c r="V497" t="n">
        <v>1</v>
      </c>
      <c r="W497" t="inlineStr">
        <is>
          <t>2005-03-22</t>
        </is>
      </c>
      <c r="X497" t="inlineStr">
        <is>
          <t>2005-03-22</t>
        </is>
      </c>
      <c r="Y497" t="inlineStr">
        <is>
          <t>2005-03-22</t>
        </is>
      </c>
      <c r="Z497" t="inlineStr">
        <is>
          <t>2005-03-22</t>
        </is>
      </c>
      <c r="AA497" t="n">
        <v>91</v>
      </c>
      <c r="AB497" t="n">
        <v>76</v>
      </c>
      <c r="AC497" t="n">
        <v>353</v>
      </c>
      <c r="AD497" t="n">
        <v>1</v>
      </c>
      <c r="AE497" t="n">
        <v>4</v>
      </c>
      <c r="AF497" t="n">
        <v>2</v>
      </c>
      <c r="AG497" t="n">
        <v>16</v>
      </c>
      <c r="AH497" t="n">
        <v>0</v>
      </c>
      <c r="AI497" t="n">
        <v>4</v>
      </c>
      <c r="AJ497" t="n">
        <v>0</v>
      </c>
      <c r="AK497" t="n">
        <v>1</v>
      </c>
      <c r="AL497" t="n">
        <v>2</v>
      </c>
      <c r="AM497" t="n">
        <v>12</v>
      </c>
      <c r="AN497" t="n">
        <v>0</v>
      </c>
      <c r="AO497" t="n">
        <v>3</v>
      </c>
      <c r="AP497" t="n">
        <v>0</v>
      </c>
      <c r="AQ497" t="n">
        <v>0</v>
      </c>
      <c r="AR497" t="inlineStr">
        <is>
          <t>No</t>
        </is>
      </c>
      <c r="AS497" t="inlineStr">
        <is>
          <t>No</t>
        </is>
      </c>
      <c r="AU497">
        <f>HYPERLINK("https://creighton-primo.hosted.exlibrisgroup.com/primo-explore/search?tab=default_tab&amp;search_scope=EVERYTHING&amp;vid=01CRU&amp;lang=en_US&amp;offset=0&amp;query=any,contains,991004508679702656","Catalog Record")</f>
        <v/>
      </c>
      <c r="AV497">
        <f>HYPERLINK("http://www.worldcat.org/oclc/581622","WorldCat Record")</f>
        <v/>
      </c>
      <c r="AW497" t="inlineStr">
        <is>
          <t>53609658:spa</t>
        </is>
      </c>
      <c r="AX497" t="inlineStr">
        <is>
          <t>581622</t>
        </is>
      </c>
      <c r="AY497" t="inlineStr">
        <is>
          <t>991004508679702656</t>
        </is>
      </c>
      <c r="AZ497" t="inlineStr">
        <is>
          <t>991004508679702656</t>
        </is>
      </c>
      <c r="BA497" t="inlineStr">
        <is>
          <t>2271629770002656</t>
        </is>
      </c>
      <c r="BB497" t="inlineStr">
        <is>
          <t>BOOK</t>
        </is>
      </c>
      <c r="BE497" t="inlineStr">
        <is>
          <t>32285005029508</t>
        </is>
      </c>
      <c r="BF497" t="inlineStr">
        <is>
          <t>893343920</t>
        </is>
      </c>
    </row>
    <row r="498">
      <c r="A498" t="inlineStr">
        <is>
          <t>No</t>
        </is>
      </c>
      <c r="B498" t="inlineStr">
        <is>
          <t>CURAL</t>
        </is>
      </c>
      <c r="C498" t="inlineStr">
        <is>
          <t>SHELVES</t>
        </is>
      </c>
      <c r="D498" t="inlineStr">
        <is>
          <t>PQ6104 .L6 1968</t>
        </is>
      </c>
      <c r="E498" t="inlineStr">
        <is>
          <t>0                      PQ 6104000L  6           1968</t>
        </is>
      </c>
      <c r="F498" t="inlineStr">
        <is>
          <t>Tradición y creación en los orígenes del teatro castellano / Humberto Lopez Morales.</t>
        </is>
      </c>
      <c r="H498" t="inlineStr">
        <is>
          <t>No</t>
        </is>
      </c>
      <c r="I498" t="inlineStr">
        <is>
          <t>1</t>
        </is>
      </c>
      <c r="J498" t="inlineStr">
        <is>
          <t>No</t>
        </is>
      </c>
      <c r="K498" t="inlineStr">
        <is>
          <t>No</t>
        </is>
      </c>
      <c r="L498" t="inlineStr">
        <is>
          <t>0</t>
        </is>
      </c>
      <c r="M498" t="inlineStr">
        <is>
          <t>López Morales, Humberto.</t>
        </is>
      </c>
      <c r="N498" t="inlineStr">
        <is>
          <t>Madrid : Ediciones Alcalá, [1968]</t>
        </is>
      </c>
      <c r="O498" t="inlineStr">
        <is>
          <t>1968</t>
        </is>
      </c>
      <c r="Q498" t="inlineStr">
        <is>
          <t>spa</t>
        </is>
      </c>
      <c r="R498" t="inlineStr">
        <is>
          <t xml:space="preserve">sp </t>
        </is>
      </c>
      <c r="S498" t="inlineStr">
        <is>
          <t>Colección Romania. Serie Literaria</t>
        </is>
      </c>
      <c r="T498" t="inlineStr">
        <is>
          <t xml:space="preserve">PQ </t>
        </is>
      </c>
      <c r="U498" t="n">
        <v>1</v>
      </c>
      <c r="V498" t="n">
        <v>1</v>
      </c>
      <c r="W498" t="inlineStr">
        <is>
          <t>2005-04-06</t>
        </is>
      </c>
      <c r="X498" t="inlineStr">
        <is>
          <t>2005-04-06</t>
        </is>
      </c>
      <c r="Y498" t="inlineStr">
        <is>
          <t>2005-04-06</t>
        </is>
      </c>
      <c r="Z498" t="inlineStr">
        <is>
          <t>2005-04-06</t>
        </is>
      </c>
      <c r="AA498" t="n">
        <v>381</v>
      </c>
      <c r="AB498" t="n">
        <v>326</v>
      </c>
      <c r="AC498" t="n">
        <v>328</v>
      </c>
      <c r="AD498" t="n">
        <v>4</v>
      </c>
      <c r="AE498" t="n">
        <v>4</v>
      </c>
      <c r="AF498" t="n">
        <v>19</v>
      </c>
      <c r="AG498" t="n">
        <v>19</v>
      </c>
      <c r="AH498" t="n">
        <v>5</v>
      </c>
      <c r="AI498" t="n">
        <v>5</v>
      </c>
      <c r="AJ498" t="n">
        <v>5</v>
      </c>
      <c r="AK498" t="n">
        <v>5</v>
      </c>
      <c r="AL498" t="n">
        <v>10</v>
      </c>
      <c r="AM498" t="n">
        <v>10</v>
      </c>
      <c r="AN498" t="n">
        <v>3</v>
      </c>
      <c r="AO498" t="n">
        <v>3</v>
      </c>
      <c r="AP498" t="n">
        <v>0</v>
      </c>
      <c r="AQ498" t="n">
        <v>0</v>
      </c>
      <c r="AR498" t="inlineStr">
        <is>
          <t>No</t>
        </is>
      </c>
      <c r="AS498" t="inlineStr">
        <is>
          <t>Yes</t>
        </is>
      </c>
      <c r="AT498">
        <f>HYPERLINK("http://catalog.hathitrust.org/Record/001049314","HathiTrust Record")</f>
        <v/>
      </c>
      <c r="AU498">
        <f>HYPERLINK("https://creighton-primo.hosted.exlibrisgroup.com/primo-explore/search?tab=default_tab&amp;search_scope=EVERYTHING&amp;vid=01CRU&amp;lang=en_US&amp;offset=0&amp;query=any,contains,991004522639702656","Catalog Record")</f>
        <v/>
      </c>
      <c r="AV498">
        <f>HYPERLINK("http://www.worldcat.org/oclc/224758","WorldCat Record")</f>
        <v/>
      </c>
      <c r="AW498" t="inlineStr">
        <is>
          <t>1334731:spa</t>
        </is>
      </c>
      <c r="AX498" t="inlineStr">
        <is>
          <t>224758</t>
        </is>
      </c>
      <c r="AY498" t="inlineStr">
        <is>
          <t>991004522639702656</t>
        </is>
      </c>
      <c r="AZ498" t="inlineStr">
        <is>
          <t>991004522639702656</t>
        </is>
      </c>
      <c r="BA498" t="inlineStr">
        <is>
          <t>2263546590002656</t>
        </is>
      </c>
      <c r="BB498" t="inlineStr">
        <is>
          <t>BOOK</t>
        </is>
      </c>
      <c r="BE498" t="inlineStr">
        <is>
          <t>32285005048250</t>
        </is>
      </c>
      <c r="BF498" t="inlineStr">
        <is>
          <t>893876204</t>
        </is>
      </c>
    </row>
    <row r="499">
      <c r="A499" t="inlineStr">
        <is>
          <t>No</t>
        </is>
      </c>
      <c r="B499" t="inlineStr">
        <is>
          <t>CURAL</t>
        </is>
      </c>
      <c r="C499" t="inlineStr">
        <is>
          <t>SHELVES</t>
        </is>
      </c>
      <c r="D499" t="inlineStr">
        <is>
          <t>PQ6105 .A918 1968</t>
        </is>
      </c>
      <c r="E499" t="inlineStr">
        <is>
          <t>0                      PQ 6105000A  918         1968</t>
        </is>
      </c>
      <c r="F499" t="inlineStr">
        <is>
          <t>La comedia española (1600-1680) / Charles Vincent Aubrun.</t>
        </is>
      </c>
      <c r="H499" t="inlineStr">
        <is>
          <t>No</t>
        </is>
      </c>
      <c r="I499" t="inlineStr">
        <is>
          <t>1</t>
        </is>
      </c>
      <c r="J499" t="inlineStr">
        <is>
          <t>No</t>
        </is>
      </c>
      <c r="K499" t="inlineStr">
        <is>
          <t>No</t>
        </is>
      </c>
      <c r="L499" t="inlineStr">
        <is>
          <t>0</t>
        </is>
      </c>
      <c r="M499" t="inlineStr">
        <is>
          <t>Aubrun, Charles Vincent, 1906-</t>
        </is>
      </c>
      <c r="N499" t="inlineStr">
        <is>
          <t>Madrid : Taurus, 1968.</t>
        </is>
      </c>
      <c r="O499" t="inlineStr">
        <is>
          <t>1968</t>
        </is>
      </c>
      <c r="Q499" t="inlineStr">
        <is>
          <t>spa</t>
        </is>
      </c>
      <c r="R499" t="inlineStr">
        <is>
          <t xml:space="preserve">sp </t>
        </is>
      </c>
      <c r="S499" t="inlineStr">
        <is>
          <t>Persiles ; 36</t>
        </is>
      </c>
      <c r="T499" t="inlineStr">
        <is>
          <t xml:space="preserve">PQ </t>
        </is>
      </c>
      <c r="U499" t="n">
        <v>1</v>
      </c>
      <c r="V499" t="n">
        <v>1</v>
      </c>
      <c r="W499" t="inlineStr">
        <is>
          <t>2005-03-02</t>
        </is>
      </c>
      <c r="X499" t="inlineStr">
        <is>
          <t>2005-03-02</t>
        </is>
      </c>
      <c r="Y499" t="inlineStr">
        <is>
          <t>2005-03-02</t>
        </is>
      </c>
      <c r="Z499" t="inlineStr">
        <is>
          <t>2005-03-02</t>
        </is>
      </c>
      <c r="AA499" t="n">
        <v>320</v>
      </c>
      <c r="AB499" t="n">
        <v>271</v>
      </c>
      <c r="AC499" t="n">
        <v>305</v>
      </c>
      <c r="AD499" t="n">
        <v>5</v>
      </c>
      <c r="AE499" t="n">
        <v>5</v>
      </c>
      <c r="AF499" t="n">
        <v>15</v>
      </c>
      <c r="AG499" t="n">
        <v>16</v>
      </c>
      <c r="AH499" t="n">
        <v>5</v>
      </c>
      <c r="AI499" t="n">
        <v>5</v>
      </c>
      <c r="AJ499" t="n">
        <v>3</v>
      </c>
      <c r="AK499" t="n">
        <v>4</v>
      </c>
      <c r="AL499" t="n">
        <v>7</v>
      </c>
      <c r="AM499" t="n">
        <v>7</v>
      </c>
      <c r="AN499" t="n">
        <v>4</v>
      </c>
      <c r="AO499" t="n">
        <v>4</v>
      </c>
      <c r="AP499" t="n">
        <v>0</v>
      </c>
      <c r="AQ499" t="n">
        <v>0</v>
      </c>
      <c r="AR499" t="inlineStr">
        <is>
          <t>No</t>
        </is>
      </c>
      <c r="AS499" t="inlineStr">
        <is>
          <t>Yes</t>
        </is>
      </c>
      <c r="AT499">
        <f>HYPERLINK("http://catalog.hathitrust.org/Record/007124019","HathiTrust Record")</f>
        <v/>
      </c>
      <c r="AU499">
        <f>HYPERLINK("https://creighton-primo.hosted.exlibrisgroup.com/primo-explore/search?tab=default_tab&amp;search_scope=EVERYTHING&amp;vid=01CRU&amp;lang=en_US&amp;offset=0&amp;query=any,contains,991004490929702656","Catalog Record")</f>
        <v/>
      </c>
      <c r="AV499">
        <f>HYPERLINK("http://www.worldcat.org/oclc/11199028","WorldCat Record")</f>
        <v/>
      </c>
      <c r="AW499" t="inlineStr">
        <is>
          <t>8914121836:spa</t>
        </is>
      </c>
      <c r="AX499" t="inlineStr">
        <is>
          <t>11199028</t>
        </is>
      </c>
      <c r="AY499" t="inlineStr">
        <is>
          <t>991004490929702656</t>
        </is>
      </c>
      <c r="AZ499" t="inlineStr">
        <is>
          <t>991004490929702656</t>
        </is>
      </c>
      <c r="BA499" t="inlineStr">
        <is>
          <t>2263579010002656</t>
        </is>
      </c>
      <c r="BB499" t="inlineStr">
        <is>
          <t>BOOK</t>
        </is>
      </c>
      <c r="BE499" t="inlineStr">
        <is>
          <t>32285005029037</t>
        </is>
      </c>
      <c r="BF499" t="inlineStr">
        <is>
          <t>893235562</t>
        </is>
      </c>
    </row>
    <row r="500">
      <c r="A500" t="inlineStr">
        <is>
          <t>No</t>
        </is>
      </c>
      <c r="B500" t="inlineStr">
        <is>
          <t>CURAL</t>
        </is>
      </c>
      <c r="C500" t="inlineStr">
        <is>
          <t>SHELVES</t>
        </is>
      </c>
      <c r="D500" t="inlineStr">
        <is>
          <t>PQ6105 .B58 1989</t>
        </is>
      </c>
      <c r="E500" t="inlineStr">
        <is>
          <t>0                      PQ 6105000B  58          1989</t>
        </is>
      </c>
      <c r="F500" t="inlineStr">
        <is>
          <t>Comedia--art and history / William R. Blue.</t>
        </is>
      </c>
      <c r="H500" t="inlineStr">
        <is>
          <t>No</t>
        </is>
      </c>
      <c r="I500" t="inlineStr">
        <is>
          <t>1</t>
        </is>
      </c>
      <c r="J500" t="inlineStr">
        <is>
          <t>No</t>
        </is>
      </c>
      <c r="K500" t="inlineStr">
        <is>
          <t>No</t>
        </is>
      </c>
      <c r="L500" t="inlineStr">
        <is>
          <t>0</t>
        </is>
      </c>
      <c r="M500" t="inlineStr">
        <is>
          <t>Blue, William R.</t>
        </is>
      </c>
      <c r="N500" t="inlineStr">
        <is>
          <t>New York : P. Lang, c1989.</t>
        </is>
      </c>
      <c r="O500" t="inlineStr">
        <is>
          <t>1989</t>
        </is>
      </c>
      <c r="Q500" t="inlineStr">
        <is>
          <t>eng</t>
        </is>
      </c>
      <c r="R500" t="inlineStr">
        <is>
          <t>nyu</t>
        </is>
      </c>
      <c r="S500" t="inlineStr">
        <is>
          <t>University of Kansas humanistic studies ; vol. 55</t>
        </is>
      </c>
      <c r="T500" t="inlineStr">
        <is>
          <t xml:space="preserve">PQ </t>
        </is>
      </c>
      <c r="U500" t="n">
        <v>1</v>
      </c>
      <c r="V500" t="n">
        <v>1</v>
      </c>
      <c r="W500" t="inlineStr">
        <is>
          <t>1998-09-21</t>
        </is>
      </c>
      <c r="X500" t="inlineStr">
        <is>
          <t>1998-09-21</t>
        </is>
      </c>
      <c r="Y500" t="inlineStr">
        <is>
          <t>1992-11-02</t>
        </is>
      </c>
      <c r="Z500" t="inlineStr">
        <is>
          <t>1992-11-02</t>
        </is>
      </c>
      <c r="AA500" t="n">
        <v>155</v>
      </c>
      <c r="AB500" t="n">
        <v>111</v>
      </c>
      <c r="AC500" t="n">
        <v>111</v>
      </c>
      <c r="AD500" t="n">
        <v>1</v>
      </c>
      <c r="AE500" t="n">
        <v>1</v>
      </c>
      <c r="AF500" t="n">
        <v>2</v>
      </c>
      <c r="AG500" t="n">
        <v>2</v>
      </c>
      <c r="AH500" t="n">
        <v>1</v>
      </c>
      <c r="AI500" t="n">
        <v>1</v>
      </c>
      <c r="AJ500" t="n">
        <v>0</v>
      </c>
      <c r="AK500" t="n">
        <v>0</v>
      </c>
      <c r="AL500" t="n">
        <v>1</v>
      </c>
      <c r="AM500" t="n">
        <v>1</v>
      </c>
      <c r="AN500" t="n">
        <v>0</v>
      </c>
      <c r="AO500" t="n">
        <v>0</v>
      </c>
      <c r="AP500" t="n">
        <v>0</v>
      </c>
      <c r="AQ500" t="n">
        <v>0</v>
      </c>
      <c r="AR500" t="inlineStr">
        <is>
          <t>No</t>
        </is>
      </c>
      <c r="AS500" t="inlineStr">
        <is>
          <t>No</t>
        </is>
      </c>
      <c r="AU500">
        <f>HYPERLINK("https://creighton-primo.hosted.exlibrisgroup.com/primo-explore/search?tab=default_tab&amp;search_scope=EVERYTHING&amp;vid=01CRU&amp;lang=en_US&amp;offset=0&amp;query=any,contains,991001191029702656","Catalog Record")</f>
        <v/>
      </c>
      <c r="AV500">
        <f>HYPERLINK("http://www.worldcat.org/oclc/17258529","WorldCat Record")</f>
        <v/>
      </c>
      <c r="AW500" t="inlineStr">
        <is>
          <t>15527116:eng</t>
        </is>
      </c>
      <c r="AX500" t="inlineStr">
        <is>
          <t>17258529</t>
        </is>
      </c>
      <c r="AY500" t="inlineStr">
        <is>
          <t>991001191029702656</t>
        </is>
      </c>
      <c r="AZ500" t="inlineStr">
        <is>
          <t>991001191029702656</t>
        </is>
      </c>
      <c r="BA500" t="inlineStr">
        <is>
          <t>2263993140002656</t>
        </is>
      </c>
      <c r="BB500" t="inlineStr">
        <is>
          <t>BOOK</t>
        </is>
      </c>
      <c r="BD500" t="inlineStr">
        <is>
          <t>9780820406442</t>
        </is>
      </c>
      <c r="BE500" t="inlineStr">
        <is>
          <t>32285001360345</t>
        </is>
      </c>
      <c r="BF500" t="inlineStr">
        <is>
          <t>893509457</t>
        </is>
      </c>
    </row>
    <row r="501">
      <c r="A501" t="inlineStr">
        <is>
          <t>No</t>
        </is>
      </c>
      <c r="B501" t="inlineStr">
        <is>
          <t>CURAL</t>
        </is>
      </c>
      <c r="C501" t="inlineStr">
        <is>
          <t>SHELVES</t>
        </is>
      </c>
      <c r="D501" t="inlineStr">
        <is>
          <t>PQ6105 .V3 1969</t>
        </is>
      </c>
      <c r="E501" t="inlineStr">
        <is>
          <t>0                      PQ 6105000V  3           1969</t>
        </is>
      </c>
      <c r="F501" t="inlineStr">
        <is>
          <t>El teatro espaanol en su siglo de oro / Angel Valbuena Prat.</t>
        </is>
      </c>
      <c r="H501" t="inlineStr">
        <is>
          <t>No</t>
        </is>
      </c>
      <c r="I501" t="inlineStr">
        <is>
          <t>1</t>
        </is>
      </c>
      <c r="J501" t="inlineStr">
        <is>
          <t>No</t>
        </is>
      </c>
      <c r="K501" t="inlineStr">
        <is>
          <t>No</t>
        </is>
      </c>
      <c r="L501" t="inlineStr">
        <is>
          <t>0</t>
        </is>
      </c>
      <c r="M501" t="inlineStr">
        <is>
          <t>Valbuena Prat, Angel, 1900-1977.</t>
        </is>
      </c>
      <c r="N501" t="inlineStr">
        <is>
          <t>Barcelona : Editorial Paneta, c1969.</t>
        </is>
      </c>
      <c r="O501" t="inlineStr">
        <is>
          <t>1969</t>
        </is>
      </c>
      <c r="P501" t="inlineStr">
        <is>
          <t>1. ed.</t>
        </is>
      </c>
      <c r="Q501" t="inlineStr">
        <is>
          <t>spa</t>
        </is>
      </c>
      <c r="R501" t="inlineStr">
        <is>
          <t xml:space="preserve">sp </t>
        </is>
      </c>
      <c r="S501" t="inlineStr">
        <is>
          <t>Ensayos/Planeta</t>
        </is>
      </c>
      <c r="T501" t="inlineStr">
        <is>
          <t xml:space="preserve">PQ </t>
        </is>
      </c>
      <c r="U501" t="n">
        <v>1</v>
      </c>
      <c r="V501" t="n">
        <v>1</v>
      </c>
      <c r="W501" t="inlineStr">
        <is>
          <t>2004-08-03</t>
        </is>
      </c>
      <c r="X501" t="inlineStr">
        <is>
          <t>2004-08-03</t>
        </is>
      </c>
      <c r="Y501" t="inlineStr">
        <is>
          <t>2004-08-03</t>
        </is>
      </c>
      <c r="Z501" t="inlineStr">
        <is>
          <t>2004-08-03</t>
        </is>
      </c>
      <c r="AA501" t="n">
        <v>390</v>
      </c>
      <c r="AB501" t="n">
        <v>299</v>
      </c>
      <c r="AC501" t="n">
        <v>399</v>
      </c>
      <c r="AD501" t="n">
        <v>4</v>
      </c>
      <c r="AE501" t="n">
        <v>5</v>
      </c>
      <c r="AF501" t="n">
        <v>18</v>
      </c>
      <c r="AG501" t="n">
        <v>24</v>
      </c>
      <c r="AH501" t="n">
        <v>5</v>
      </c>
      <c r="AI501" t="n">
        <v>7</v>
      </c>
      <c r="AJ501" t="n">
        <v>7</v>
      </c>
      <c r="AK501" t="n">
        <v>7</v>
      </c>
      <c r="AL501" t="n">
        <v>9</v>
      </c>
      <c r="AM501" t="n">
        <v>13</v>
      </c>
      <c r="AN501" t="n">
        <v>3</v>
      </c>
      <c r="AO501" t="n">
        <v>4</v>
      </c>
      <c r="AP501" t="n">
        <v>0</v>
      </c>
      <c r="AQ501" t="n">
        <v>0</v>
      </c>
      <c r="AR501" t="inlineStr">
        <is>
          <t>No</t>
        </is>
      </c>
      <c r="AS501" t="inlineStr">
        <is>
          <t>No</t>
        </is>
      </c>
      <c r="AU501">
        <f>HYPERLINK("https://creighton-primo.hosted.exlibrisgroup.com/primo-explore/search?tab=default_tab&amp;search_scope=EVERYTHING&amp;vid=01CRU&amp;lang=en_US&amp;offset=0&amp;query=any,contains,991004334039702656","Catalog Record")</f>
        <v/>
      </c>
      <c r="AV501">
        <f>HYPERLINK("http://www.worldcat.org/oclc/181417","WorldCat Record")</f>
        <v/>
      </c>
      <c r="AW501" t="inlineStr">
        <is>
          <t>365273350:spa</t>
        </is>
      </c>
      <c r="AX501" t="inlineStr">
        <is>
          <t>181417</t>
        </is>
      </c>
      <c r="AY501" t="inlineStr">
        <is>
          <t>991004334039702656</t>
        </is>
      </c>
      <c r="AZ501" t="inlineStr">
        <is>
          <t>991004334039702656</t>
        </is>
      </c>
      <c r="BA501" t="inlineStr">
        <is>
          <t>2272551810002656</t>
        </is>
      </c>
      <c r="BB501" t="inlineStr">
        <is>
          <t>BOOK</t>
        </is>
      </c>
      <c r="BE501" t="inlineStr">
        <is>
          <t>32285004927363</t>
        </is>
      </c>
      <c r="BF501" t="inlineStr">
        <is>
          <t>893687618</t>
        </is>
      </c>
    </row>
    <row r="502">
      <c r="A502" t="inlineStr">
        <is>
          <t>No</t>
        </is>
      </c>
      <c r="B502" t="inlineStr">
        <is>
          <t>CURAL</t>
        </is>
      </c>
      <c r="C502" t="inlineStr">
        <is>
          <t>SHELVES</t>
        </is>
      </c>
      <c r="D502" t="inlineStr">
        <is>
          <t>PQ6106 .C5</t>
        </is>
      </c>
      <c r="E502" t="inlineStr">
        <is>
          <t>0                      PQ 6106000C  5</t>
        </is>
      </c>
      <c r="F502" t="inlineStr">
        <is>
          <t>Dramatic theory in Spain : extracts from literature before and during the golden age / edited by H.J. Chaytor.</t>
        </is>
      </c>
      <c r="H502" t="inlineStr">
        <is>
          <t>No</t>
        </is>
      </c>
      <c r="I502" t="inlineStr">
        <is>
          <t>1</t>
        </is>
      </c>
      <c r="J502" t="inlineStr">
        <is>
          <t>No</t>
        </is>
      </c>
      <c r="K502" t="inlineStr">
        <is>
          <t>No</t>
        </is>
      </c>
      <c r="L502" t="inlineStr">
        <is>
          <t>0</t>
        </is>
      </c>
      <c r="M502" t="inlineStr">
        <is>
          <t>Chaytor, H. J. (Henry John), 1871-1954, editor.</t>
        </is>
      </c>
      <c r="N502" t="inlineStr">
        <is>
          <t>Cambridge, [Eng.] : The University Press, 1925.</t>
        </is>
      </c>
      <c r="O502" t="inlineStr">
        <is>
          <t>1925</t>
        </is>
      </c>
      <c r="Q502" t="inlineStr">
        <is>
          <t>eng</t>
        </is>
      </c>
      <c r="R502" t="inlineStr">
        <is>
          <t>enk</t>
        </is>
      </c>
      <c r="T502" t="inlineStr">
        <is>
          <t xml:space="preserve">PQ </t>
        </is>
      </c>
      <c r="U502" t="n">
        <v>4</v>
      </c>
      <c r="V502" t="n">
        <v>4</v>
      </c>
      <c r="W502" t="inlineStr">
        <is>
          <t>1999-04-06</t>
        </is>
      </c>
      <c r="X502" t="inlineStr">
        <is>
          <t>1999-04-06</t>
        </is>
      </c>
      <c r="Y502" t="inlineStr">
        <is>
          <t>1994-12-03</t>
        </is>
      </c>
      <c r="Z502" t="inlineStr">
        <is>
          <t>1994-12-03</t>
        </is>
      </c>
      <c r="AA502" t="n">
        <v>280</v>
      </c>
      <c r="AB502" t="n">
        <v>235</v>
      </c>
      <c r="AC502" t="n">
        <v>245</v>
      </c>
      <c r="AD502" t="n">
        <v>2</v>
      </c>
      <c r="AE502" t="n">
        <v>2</v>
      </c>
      <c r="AF502" t="n">
        <v>11</v>
      </c>
      <c r="AG502" t="n">
        <v>11</v>
      </c>
      <c r="AH502" t="n">
        <v>3</v>
      </c>
      <c r="AI502" t="n">
        <v>3</v>
      </c>
      <c r="AJ502" t="n">
        <v>2</v>
      </c>
      <c r="AK502" t="n">
        <v>2</v>
      </c>
      <c r="AL502" t="n">
        <v>7</v>
      </c>
      <c r="AM502" t="n">
        <v>7</v>
      </c>
      <c r="AN502" t="n">
        <v>1</v>
      </c>
      <c r="AO502" t="n">
        <v>1</v>
      </c>
      <c r="AP502" t="n">
        <v>0</v>
      </c>
      <c r="AQ502" t="n">
        <v>0</v>
      </c>
      <c r="AR502" t="inlineStr">
        <is>
          <t>No</t>
        </is>
      </c>
      <c r="AS502" t="inlineStr">
        <is>
          <t>Yes</t>
        </is>
      </c>
      <c r="AT502">
        <f>HYPERLINK("http://catalog.hathitrust.org/Record/002718990","HathiTrust Record")</f>
        <v/>
      </c>
      <c r="AU502">
        <f>HYPERLINK("https://creighton-primo.hosted.exlibrisgroup.com/primo-explore/search?tab=default_tab&amp;search_scope=EVERYTHING&amp;vid=01CRU&amp;lang=en_US&amp;offset=0&amp;query=any,contains,991003690119702656","Catalog Record")</f>
        <v/>
      </c>
      <c r="AV502">
        <f>HYPERLINK("http://www.worldcat.org/oclc/1320485","WorldCat Record")</f>
        <v/>
      </c>
      <c r="AW502" t="inlineStr">
        <is>
          <t>902144114:eng</t>
        </is>
      </c>
      <c r="AX502" t="inlineStr">
        <is>
          <t>1320485</t>
        </is>
      </c>
      <c r="AY502" t="inlineStr">
        <is>
          <t>991003690119702656</t>
        </is>
      </c>
      <c r="AZ502" t="inlineStr">
        <is>
          <t>991003690119702656</t>
        </is>
      </c>
      <c r="BA502" t="inlineStr">
        <is>
          <t>2257032810002656</t>
        </is>
      </c>
      <c r="BB502" t="inlineStr">
        <is>
          <t>BOOK</t>
        </is>
      </c>
      <c r="BE502" t="inlineStr">
        <is>
          <t>32285001980191</t>
        </is>
      </c>
      <c r="BF502" t="inlineStr">
        <is>
          <t>893875047</t>
        </is>
      </c>
    </row>
    <row r="503">
      <c r="A503" t="inlineStr">
        <is>
          <t>No</t>
        </is>
      </c>
      <c r="B503" t="inlineStr">
        <is>
          <t>CURAL</t>
        </is>
      </c>
      <c r="C503" t="inlineStr">
        <is>
          <t>SHELVES</t>
        </is>
      </c>
      <c r="D503" t="inlineStr">
        <is>
          <t>PQ6107 .W4</t>
        </is>
      </c>
      <c r="E503" t="inlineStr">
        <is>
          <t>0                      PQ 6107000W  4</t>
        </is>
      </c>
      <c r="F503" t="inlineStr">
        <is>
          <t>The Valencian dramatists of Spain's golden age / by John G. Weiger.</t>
        </is>
      </c>
      <c r="H503" t="inlineStr">
        <is>
          <t>No</t>
        </is>
      </c>
      <c r="I503" t="inlineStr">
        <is>
          <t>1</t>
        </is>
      </c>
      <c r="J503" t="inlineStr">
        <is>
          <t>No</t>
        </is>
      </c>
      <c r="K503" t="inlineStr">
        <is>
          <t>No</t>
        </is>
      </c>
      <c r="L503" t="inlineStr">
        <is>
          <t>0</t>
        </is>
      </c>
      <c r="M503" t="inlineStr">
        <is>
          <t>Weiger, John G.</t>
        </is>
      </c>
      <c r="N503" t="inlineStr">
        <is>
          <t>Boston : Twayne Publishers, c1976.</t>
        </is>
      </c>
      <c r="O503" t="inlineStr">
        <is>
          <t>1976</t>
        </is>
      </c>
      <c r="Q503" t="inlineStr">
        <is>
          <t>eng</t>
        </is>
      </c>
      <c r="R503" t="inlineStr">
        <is>
          <t>mau</t>
        </is>
      </c>
      <c r="S503" t="inlineStr">
        <is>
          <t>Twayne's world authors series; TWAS 371 : Spain</t>
        </is>
      </c>
      <c r="T503" t="inlineStr">
        <is>
          <t xml:space="preserve">PQ </t>
        </is>
      </c>
      <c r="U503" t="n">
        <v>2</v>
      </c>
      <c r="V503" t="n">
        <v>2</v>
      </c>
      <c r="W503" t="inlineStr">
        <is>
          <t>1994-11-03</t>
        </is>
      </c>
      <c r="X503" t="inlineStr">
        <is>
          <t>1994-11-03</t>
        </is>
      </c>
      <c r="Y503" t="inlineStr">
        <is>
          <t>1991-05-22</t>
        </is>
      </c>
      <c r="Z503" t="inlineStr">
        <is>
          <t>1991-05-22</t>
        </is>
      </c>
      <c r="AA503" t="n">
        <v>578</v>
      </c>
      <c r="AB503" t="n">
        <v>511</v>
      </c>
      <c r="AC503" t="n">
        <v>534</v>
      </c>
      <c r="AD503" t="n">
        <v>5</v>
      </c>
      <c r="AE503" t="n">
        <v>5</v>
      </c>
      <c r="AF503" t="n">
        <v>26</v>
      </c>
      <c r="AG503" t="n">
        <v>27</v>
      </c>
      <c r="AH503" t="n">
        <v>10</v>
      </c>
      <c r="AI503" t="n">
        <v>11</v>
      </c>
      <c r="AJ503" t="n">
        <v>7</v>
      </c>
      <c r="AK503" t="n">
        <v>7</v>
      </c>
      <c r="AL503" t="n">
        <v>13</v>
      </c>
      <c r="AM503" t="n">
        <v>14</v>
      </c>
      <c r="AN503" t="n">
        <v>4</v>
      </c>
      <c r="AO503" t="n">
        <v>4</v>
      </c>
      <c r="AP503" t="n">
        <v>0</v>
      </c>
      <c r="AQ503" t="n">
        <v>0</v>
      </c>
      <c r="AR503" t="inlineStr">
        <is>
          <t>No</t>
        </is>
      </c>
      <c r="AS503" t="inlineStr">
        <is>
          <t>Yes</t>
        </is>
      </c>
      <c r="AT503">
        <f>HYPERLINK("http://catalog.hathitrust.org/Record/000025941","HathiTrust Record")</f>
        <v/>
      </c>
      <c r="AU503">
        <f>HYPERLINK("https://creighton-primo.hosted.exlibrisgroup.com/primo-explore/search?tab=default_tab&amp;search_scope=EVERYTHING&amp;vid=01CRU&amp;lang=en_US&amp;offset=0&amp;query=any,contains,991003818329702656","Catalog Record")</f>
        <v/>
      </c>
      <c r="AV503">
        <f>HYPERLINK("http://www.worldcat.org/oclc/1551543","WorldCat Record")</f>
        <v/>
      </c>
      <c r="AW503" t="inlineStr">
        <is>
          <t>2373953:eng</t>
        </is>
      </c>
      <c r="AX503" t="inlineStr">
        <is>
          <t>1551543</t>
        </is>
      </c>
      <c r="AY503" t="inlineStr">
        <is>
          <t>991003818329702656</t>
        </is>
      </c>
      <c r="AZ503" t="inlineStr">
        <is>
          <t>991003818329702656</t>
        </is>
      </c>
      <c r="BA503" t="inlineStr">
        <is>
          <t>2265800340002656</t>
        </is>
      </c>
      <c r="BB503" t="inlineStr">
        <is>
          <t>BOOK</t>
        </is>
      </c>
      <c r="BD503" t="inlineStr">
        <is>
          <t>9780805762198</t>
        </is>
      </c>
      <c r="BE503" t="inlineStr">
        <is>
          <t>32285000598804</t>
        </is>
      </c>
      <c r="BF503" t="inlineStr">
        <is>
          <t>893699446</t>
        </is>
      </c>
    </row>
    <row r="504">
      <c r="A504" t="inlineStr">
        <is>
          <t>No</t>
        </is>
      </c>
      <c r="B504" t="inlineStr">
        <is>
          <t>CURAL</t>
        </is>
      </c>
      <c r="C504" t="inlineStr">
        <is>
          <t>SHELVES</t>
        </is>
      </c>
      <c r="D504" t="inlineStr">
        <is>
          <t>PQ6111.C6 N4 1974</t>
        </is>
      </c>
      <c r="E504" t="inlineStr">
        <is>
          <t>0                      PQ 6111000C  6                  N  4           1974</t>
        </is>
      </c>
      <c r="F504" t="inlineStr">
        <is>
          <t>Neo-classic drama in Spain : theory and practice / [by] John A. Cook.</t>
        </is>
      </c>
      <c r="H504" t="inlineStr">
        <is>
          <t>No</t>
        </is>
      </c>
      <c r="I504" t="inlineStr">
        <is>
          <t>1</t>
        </is>
      </c>
      <c r="J504" t="inlineStr">
        <is>
          <t>No</t>
        </is>
      </c>
      <c r="K504" t="inlineStr">
        <is>
          <t>No</t>
        </is>
      </c>
      <c r="L504" t="inlineStr">
        <is>
          <t>0</t>
        </is>
      </c>
      <c r="M504" t="inlineStr">
        <is>
          <t>Cook, John A. (John Alfred), 1898-</t>
        </is>
      </c>
      <c r="N504" t="inlineStr">
        <is>
          <t>Westport, Conn. : Greenwood Press, [1974, c1959]</t>
        </is>
      </c>
      <c r="O504" t="inlineStr">
        <is>
          <t>1974</t>
        </is>
      </c>
      <c r="Q504" t="inlineStr">
        <is>
          <t>eng</t>
        </is>
      </c>
      <c r="R504" t="inlineStr">
        <is>
          <t>ctu</t>
        </is>
      </c>
      <c r="T504" t="inlineStr">
        <is>
          <t xml:space="preserve">PQ </t>
        </is>
      </c>
      <c r="U504" t="n">
        <v>4</v>
      </c>
      <c r="V504" t="n">
        <v>4</v>
      </c>
      <c r="W504" t="inlineStr">
        <is>
          <t>1994-11-03</t>
        </is>
      </c>
      <c r="X504" t="inlineStr">
        <is>
          <t>1994-11-03</t>
        </is>
      </c>
      <c r="Y504" t="inlineStr">
        <is>
          <t>1991-05-22</t>
        </is>
      </c>
      <c r="Z504" t="inlineStr">
        <is>
          <t>1991-05-22</t>
        </is>
      </c>
      <c r="AA504" t="n">
        <v>101</v>
      </c>
      <c r="AB504" t="n">
        <v>88</v>
      </c>
      <c r="AC504" t="n">
        <v>492</v>
      </c>
      <c r="AD504" t="n">
        <v>1</v>
      </c>
      <c r="AE504" t="n">
        <v>4</v>
      </c>
      <c r="AF504" t="n">
        <v>5</v>
      </c>
      <c r="AG504" t="n">
        <v>24</v>
      </c>
      <c r="AH504" t="n">
        <v>2</v>
      </c>
      <c r="AI504" t="n">
        <v>9</v>
      </c>
      <c r="AJ504" t="n">
        <v>3</v>
      </c>
      <c r="AK504" t="n">
        <v>7</v>
      </c>
      <c r="AL504" t="n">
        <v>3</v>
      </c>
      <c r="AM504" t="n">
        <v>12</v>
      </c>
      <c r="AN504" t="n">
        <v>0</v>
      </c>
      <c r="AO504" t="n">
        <v>3</v>
      </c>
      <c r="AP504" t="n">
        <v>0</v>
      </c>
      <c r="AQ504" t="n">
        <v>0</v>
      </c>
      <c r="AR504" t="inlineStr">
        <is>
          <t>No</t>
        </is>
      </c>
      <c r="AS504" t="inlineStr">
        <is>
          <t>Yes</t>
        </is>
      </c>
      <c r="AT504">
        <f>HYPERLINK("http://catalog.hathitrust.org/Record/002054642","HathiTrust Record")</f>
        <v/>
      </c>
      <c r="AU504">
        <f>HYPERLINK("https://creighton-primo.hosted.exlibrisgroup.com/primo-explore/search?tab=default_tab&amp;search_scope=EVERYTHING&amp;vid=01CRU&amp;lang=en_US&amp;offset=0&amp;query=any,contains,991003361939702656","Catalog Record")</f>
        <v/>
      </c>
      <c r="AV504">
        <f>HYPERLINK("http://www.worldcat.org/oclc/897882","WorldCat Record")</f>
        <v/>
      </c>
      <c r="AW504" t="inlineStr">
        <is>
          <t>289739120:eng</t>
        </is>
      </c>
      <c r="AX504" t="inlineStr">
        <is>
          <t>897882</t>
        </is>
      </c>
      <c r="AY504" t="inlineStr">
        <is>
          <t>991003361939702656</t>
        </is>
      </c>
      <c r="AZ504" t="inlineStr">
        <is>
          <t>991003361939702656</t>
        </is>
      </c>
      <c r="BA504" t="inlineStr">
        <is>
          <t>2257516660002656</t>
        </is>
      </c>
      <c r="BB504" t="inlineStr">
        <is>
          <t>BOOK</t>
        </is>
      </c>
      <c r="BD504" t="inlineStr">
        <is>
          <t>9780837175188</t>
        </is>
      </c>
      <c r="BE504" t="inlineStr">
        <is>
          <t>32285000598812</t>
        </is>
      </c>
      <c r="BF504" t="inlineStr">
        <is>
          <t>893524742</t>
        </is>
      </c>
    </row>
    <row r="505">
      <c r="A505" t="inlineStr">
        <is>
          <t>No</t>
        </is>
      </c>
      <c r="B505" t="inlineStr">
        <is>
          <t>CURAL</t>
        </is>
      </c>
      <c r="C505" t="inlineStr">
        <is>
          <t>SHELVES</t>
        </is>
      </c>
      <c r="D505" t="inlineStr">
        <is>
          <t>PQ6115 .H65</t>
        </is>
      </c>
      <c r="E505" t="inlineStr">
        <is>
          <t>0                      PQ 6115000H  65</t>
        </is>
      </c>
      <c r="F505" t="inlineStr">
        <is>
          <t>The contemporary Spanish theater (1949-1972) / by Marion P. Holt.</t>
        </is>
      </c>
      <c r="H505" t="inlineStr">
        <is>
          <t>No</t>
        </is>
      </c>
      <c r="I505" t="inlineStr">
        <is>
          <t>1</t>
        </is>
      </c>
      <c r="J505" t="inlineStr">
        <is>
          <t>No</t>
        </is>
      </c>
      <c r="K505" t="inlineStr">
        <is>
          <t>No</t>
        </is>
      </c>
      <c r="L505" t="inlineStr">
        <is>
          <t>0</t>
        </is>
      </c>
      <c r="M505" t="inlineStr">
        <is>
          <t>Holt, Marion Peter.</t>
        </is>
      </c>
      <c r="N505" t="inlineStr">
        <is>
          <t>Boston : Twayne Publishers, [1975]</t>
        </is>
      </c>
      <c r="O505" t="inlineStr">
        <is>
          <t>1975</t>
        </is>
      </c>
      <c r="Q505" t="inlineStr">
        <is>
          <t>eng</t>
        </is>
      </c>
      <c r="R505" t="inlineStr">
        <is>
          <t>mau</t>
        </is>
      </c>
      <c r="S505" t="inlineStr">
        <is>
          <t>Twayne's world authors series, TWAS 336. Spain</t>
        </is>
      </c>
      <c r="T505" t="inlineStr">
        <is>
          <t xml:space="preserve">PQ </t>
        </is>
      </c>
      <c r="U505" t="n">
        <v>3</v>
      </c>
      <c r="V505" t="n">
        <v>3</v>
      </c>
      <c r="W505" t="inlineStr">
        <is>
          <t>2005-12-05</t>
        </is>
      </c>
      <c r="X505" t="inlineStr">
        <is>
          <t>2005-12-05</t>
        </is>
      </c>
      <c r="Y505" t="inlineStr">
        <is>
          <t>1991-05-22</t>
        </is>
      </c>
      <c r="Z505" t="inlineStr">
        <is>
          <t>1991-05-22</t>
        </is>
      </c>
      <c r="AA505" t="n">
        <v>844</v>
      </c>
      <c r="AB505" t="n">
        <v>760</v>
      </c>
      <c r="AC505" t="n">
        <v>801</v>
      </c>
      <c r="AD505" t="n">
        <v>6</v>
      </c>
      <c r="AE505" t="n">
        <v>6</v>
      </c>
      <c r="AF505" t="n">
        <v>41</v>
      </c>
      <c r="AG505" t="n">
        <v>42</v>
      </c>
      <c r="AH505" t="n">
        <v>17</v>
      </c>
      <c r="AI505" t="n">
        <v>18</v>
      </c>
      <c r="AJ505" t="n">
        <v>9</v>
      </c>
      <c r="AK505" t="n">
        <v>9</v>
      </c>
      <c r="AL505" t="n">
        <v>19</v>
      </c>
      <c r="AM505" t="n">
        <v>20</v>
      </c>
      <c r="AN505" t="n">
        <v>5</v>
      </c>
      <c r="AO505" t="n">
        <v>5</v>
      </c>
      <c r="AP505" t="n">
        <v>0</v>
      </c>
      <c r="AQ505" t="n">
        <v>0</v>
      </c>
      <c r="AR505" t="inlineStr">
        <is>
          <t>No</t>
        </is>
      </c>
      <c r="AS505" t="inlineStr">
        <is>
          <t>No</t>
        </is>
      </c>
      <c r="AU505">
        <f>HYPERLINK("https://creighton-primo.hosted.exlibrisgroup.com/primo-explore/search?tab=default_tab&amp;search_scope=EVERYTHING&amp;vid=01CRU&amp;lang=en_US&amp;offset=0&amp;query=any,contains,991003443329702656","Catalog Record")</f>
        <v/>
      </c>
      <c r="AV505">
        <f>HYPERLINK("http://www.worldcat.org/oclc/979288","WorldCat Record")</f>
        <v/>
      </c>
      <c r="AW505" t="inlineStr">
        <is>
          <t>1942323:eng</t>
        </is>
      </c>
      <c r="AX505" t="inlineStr">
        <is>
          <t>979288</t>
        </is>
      </c>
      <c r="AY505" t="inlineStr">
        <is>
          <t>991003443329702656</t>
        </is>
      </c>
      <c r="AZ505" t="inlineStr">
        <is>
          <t>991003443329702656</t>
        </is>
      </c>
      <c r="BA505" t="inlineStr">
        <is>
          <t>2261802090002656</t>
        </is>
      </c>
      <c r="BB505" t="inlineStr">
        <is>
          <t>BOOK</t>
        </is>
      </c>
      <c r="BD505" t="inlineStr">
        <is>
          <t>9780805722437</t>
        </is>
      </c>
      <c r="BE505" t="inlineStr">
        <is>
          <t>32285000598820</t>
        </is>
      </c>
      <c r="BF505" t="inlineStr">
        <is>
          <t>893518480</t>
        </is>
      </c>
    </row>
    <row r="506">
      <c r="A506" t="inlineStr">
        <is>
          <t>No</t>
        </is>
      </c>
      <c r="B506" t="inlineStr">
        <is>
          <t>CURAL</t>
        </is>
      </c>
      <c r="C506" t="inlineStr">
        <is>
          <t>SHELVES</t>
        </is>
      </c>
      <c r="D506" t="inlineStr">
        <is>
          <t>PQ6115 .W4</t>
        </is>
      </c>
      <c r="E506" t="inlineStr">
        <is>
          <t>0                      PQ 6115000W  4</t>
        </is>
      </c>
      <c r="F506" t="inlineStr">
        <is>
          <t>Spanish underground drama / [by] George E. Wellwarth.</t>
        </is>
      </c>
      <c r="H506" t="inlineStr">
        <is>
          <t>No</t>
        </is>
      </c>
      <c r="I506" t="inlineStr">
        <is>
          <t>1</t>
        </is>
      </c>
      <c r="J506" t="inlineStr">
        <is>
          <t>No</t>
        </is>
      </c>
      <c r="K506" t="inlineStr">
        <is>
          <t>No</t>
        </is>
      </c>
      <c r="L506" t="inlineStr">
        <is>
          <t>0</t>
        </is>
      </c>
      <c r="M506" t="inlineStr">
        <is>
          <t>Wellwarth, George E., 1932-</t>
        </is>
      </c>
      <c r="N506" t="inlineStr">
        <is>
          <t>University Park : Pennsylvania State University Press, [1972]</t>
        </is>
      </c>
      <c r="O506" t="inlineStr">
        <is>
          <t>1972</t>
        </is>
      </c>
      <c r="Q506" t="inlineStr">
        <is>
          <t>eng</t>
        </is>
      </c>
      <c r="R506" t="inlineStr">
        <is>
          <t>pau</t>
        </is>
      </c>
      <c r="T506" t="inlineStr">
        <is>
          <t xml:space="preserve">PQ </t>
        </is>
      </c>
      <c r="U506" t="n">
        <v>3</v>
      </c>
      <c r="V506" t="n">
        <v>3</v>
      </c>
      <c r="W506" t="inlineStr">
        <is>
          <t>2005-12-05</t>
        </is>
      </c>
      <c r="X506" t="inlineStr">
        <is>
          <t>2005-12-05</t>
        </is>
      </c>
      <c r="Y506" t="inlineStr">
        <is>
          <t>1991-05-22</t>
        </is>
      </c>
      <c r="Z506" t="inlineStr">
        <is>
          <t>1991-05-22</t>
        </is>
      </c>
      <c r="AA506" t="n">
        <v>735</v>
      </c>
      <c r="AB506" t="n">
        <v>643</v>
      </c>
      <c r="AC506" t="n">
        <v>650</v>
      </c>
      <c r="AD506" t="n">
        <v>8</v>
      </c>
      <c r="AE506" t="n">
        <v>8</v>
      </c>
      <c r="AF506" t="n">
        <v>23</v>
      </c>
      <c r="AG506" t="n">
        <v>23</v>
      </c>
      <c r="AH506" t="n">
        <v>5</v>
      </c>
      <c r="AI506" t="n">
        <v>5</v>
      </c>
      <c r="AJ506" t="n">
        <v>4</v>
      </c>
      <c r="AK506" t="n">
        <v>4</v>
      </c>
      <c r="AL506" t="n">
        <v>10</v>
      </c>
      <c r="AM506" t="n">
        <v>10</v>
      </c>
      <c r="AN506" t="n">
        <v>7</v>
      </c>
      <c r="AO506" t="n">
        <v>7</v>
      </c>
      <c r="AP506" t="n">
        <v>0</v>
      </c>
      <c r="AQ506" t="n">
        <v>0</v>
      </c>
      <c r="AR506" t="inlineStr">
        <is>
          <t>No</t>
        </is>
      </c>
      <c r="AS506" t="inlineStr">
        <is>
          <t>Yes</t>
        </is>
      </c>
      <c r="AT506">
        <f>HYPERLINK("http://catalog.hathitrust.org/Record/001049371","HathiTrust Record")</f>
        <v/>
      </c>
      <c r="AU506">
        <f>HYPERLINK("https://creighton-primo.hosted.exlibrisgroup.com/primo-explore/search?tab=default_tab&amp;search_scope=EVERYTHING&amp;vid=01CRU&amp;lang=en_US&amp;offset=0&amp;query=any,contains,991002228799702656","Catalog Record")</f>
        <v/>
      </c>
      <c r="AV506">
        <f>HYPERLINK("http://www.worldcat.org/oclc/293084","WorldCat Record")</f>
        <v/>
      </c>
      <c r="AW506" t="inlineStr">
        <is>
          <t>431018:eng</t>
        </is>
      </c>
      <c r="AX506" t="inlineStr">
        <is>
          <t>293084</t>
        </is>
      </c>
      <c r="AY506" t="inlineStr">
        <is>
          <t>991002228799702656</t>
        </is>
      </c>
      <c r="AZ506" t="inlineStr">
        <is>
          <t>991002228799702656</t>
        </is>
      </c>
      <c r="BA506" t="inlineStr">
        <is>
          <t>2266512900002656</t>
        </is>
      </c>
      <c r="BB506" t="inlineStr">
        <is>
          <t>BOOK</t>
        </is>
      </c>
      <c r="BD506" t="inlineStr">
        <is>
          <t>9780271011547</t>
        </is>
      </c>
      <c r="BE506" t="inlineStr">
        <is>
          <t>32285000598838</t>
        </is>
      </c>
      <c r="BF506" t="inlineStr">
        <is>
          <t>893866948</t>
        </is>
      </c>
    </row>
    <row r="507">
      <c r="A507" t="inlineStr">
        <is>
          <t>No</t>
        </is>
      </c>
      <c r="B507" t="inlineStr">
        <is>
          <t>CURAL</t>
        </is>
      </c>
      <c r="C507" t="inlineStr">
        <is>
          <t>SHELVES</t>
        </is>
      </c>
      <c r="D507" t="inlineStr">
        <is>
          <t>PQ6136 .M87 1994</t>
        </is>
      </c>
      <c r="E507" t="inlineStr">
        <is>
          <t>0                      PQ 6136000M  87          1994</t>
        </is>
      </c>
      <c r="F507" t="inlineStr">
        <is>
          <t>Spanish chronicles of the Indies : sixteenth century / James C. Murray.</t>
        </is>
      </c>
      <c r="H507" t="inlineStr">
        <is>
          <t>No</t>
        </is>
      </c>
      <c r="I507" t="inlineStr">
        <is>
          <t>1</t>
        </is>
      </c>
      <c r="J507" t="inlineStr">
        <is>
          <t>No</t>
        </is>
      </c>
      <c r="K507" t="inlineStr">
        <is>
          <t>No</t>
        </is>
      </c>
      <c r="L507" t="inlineStr">
        <is>
          <t>0</t>
        </is>
      </c>
      <c r="M507" t="inlineStr">
        <is>
          <t>Murray, James C.</t>
        </is>
      </c>
      <c r="N507" t="inlineStr">
        <is>
          <t>New York : Twayne Publishers, c1994.</t>
        </is>
      </c>
      <c r="O507" t="inlineStr">
        <is>
          <t>1994</t>
        </is>
      </c>
      <c r="Q507" t="inlineStr">
        <is>
          <t>eng</t>
        </is>
      </c>
      <c r="R507" t="inlineStr">
        <is>
          <t>nyu</t>
        </is>
      </c>
      <c r="S507" t="inlineStr">
        <is>
          <t>Twayne's world authors series ; TWAS 847</t>
        </is>
      </c>
      <c r="T507" t="inlineStr">
        <is>
          <t xml:space="preserve">PQ </t>
        </is>
      </c>
      <c r="U507" t="n">
        <v>2</v>
      </c>
      <c r="V507" t="n">
        <v>2</v>
      </c>
      <c r="W507" t="inlineStr">
        <is>
          <t>1996-06-24</t>
        </is>
      </c>
      <c r="X507" t="inlineStr">
        <is>
          <t>1996-06-24</t>
        </is>
      </c>
      <c r="Y507" t="inlineStr">
        <is>
          <t>1996-05-30</t>
        </is>
      </c>
      <c r="Z507" t="inlineStr">
        <is>
          <t>1996-05-30</t>
        </is>
      </c>
      <c r="AA507" t="n">
        <v>413</v>
      </c>
      <c r="AB507" t="n">
        <v>369</v>
      </c>
      <c r="AC507" t="n">
        <v>533</v>
      </c>
      <c r="AD507" t="n">
        <v>3</v>
      </c>
      <c r="AE507" t="n">
        <v>5</v>
      </c>
      <c r="AF507" t="n">
        <v>23</v>
      </c>
      <c r="AG507" t="n">
        <v>28</v>
      </c>
      <c r="AH507" t="n">
        <v>10</v>
      </c>
      <c r="AI507" t="n">
        <v>11</v>
      </c>
      <c r="AJ507" t="n">
        <v>5</v>
      </c>
      <c r="AK507" t="n">
        <v>5</v>
      </c>
      <c r="AL507" t="n">
        <v>13</v>
      </c>
      <c r="AM507" t="n">
        <v>15</v>
      </c>
      <c r="AN507" t="n">
        <v>2</v>
      </c>
      <c r="AO507" t="n">
        <v>4</v>
      </c>
      <c r="AP507" t="n">
        <v>0</v>
      </c>
      <c r="AQ507" t="n">
        <v>0</v>
      </c>
      <c r="AR507" t="inlineStr">
        <is>
          <t>No</t>
        </is>
      </c>
      <c r="AS507" t="inlineStr">
        <is>
          <t>Yes</t>
        </is>
      </c>
      <c r="AT507">
        <f>HYPERLINK("http://catalog.hathitrust.org/Record/002858067","HathiTrust Record")</f>
        <v/>
      </c>
      <c r="AU507">
        <f>HYPERLINK("https://creighton-primo.hosted.exlibrisgroup.com/primo-explore/search?tab=default_tab&amp;search_scope=EVERYTHING&amp;vid=01CRU&amp;lang=en_US&amp;offset=0&amp;query=any,contains,991002218779702656","Catalog Record")</f>
        <v/>
      </c>
      <c r="AV507">
        <f>HYPERLINK("http://www.worldcat.org/oclc/28584427","WorldCat Record")</f>
        <v/>
      </c>
      <c r="AW507" t="inlineStr">
        <is>
          <t>30828188:eng</t>
        </is>
      </c>
      <c r="AX507" t="inlineStr">
        <is>
          <t>28584427</t>
        </is>
      </c>
      <c r="AY507" t="inlineStr">
        <is>
          <t>991002218779702656</t>
        </is>
      </c>
      <c r="AZ507" t="inlineStr">
        <is>
          <t>991002218779702656</t>
        </is>
      </c>
      <c r="BA507" t="inlineStr">
        <is>
          <t>2261960600002656</t>
        </is>
      </c>
      <c r="BB507" t="inlineStr">
        <is>
          <t>BOOK</t>
        </is>
      </c>
      <c r="BD507" t="inlineStr">
        <is>
          <t>9780805743067</t>
        </is>
      </c>
      <c r="BE507" t="inlineStr">
        <is>
          <t>32285002179447</t>
        </is>
      </c>
      <c r="BF507" t="inlineStr">
        <is>
          <t>893517020</t>
        </is>
      </c>
    </row>
    <row r="508">
      <c r="A508" t="inlineStr">
        <is>
          <t>No</t>
        </is>
      </c>
      <c r="B508" t="inlineStr">
        <is>
          <t>CURAL</t>
        </is>
      </c>
      <c r="C508" t="inlineStr">
        <is>
          <t>SHELVES</t>
        </is>
      </c>
      <c r="D508" t="inlineStr">
        <is>
          <t>PQ6144 .D58 1991</t>
        </is>
      </c>
      <c r="E508" t="inlineStr">
        <is>
          <t>0                      PQ 6144000D  58          1991</t>
        </is>
      </c>
      <c r="F508" t="inlineStr">
        <is>
          <t>La novela desmitificadora espan~ola, 1961-1982 / Stacey L. Dolguin [sic].</t>
        </is>
      </c>
      <c r="H508" t="inlineStr">
        <is>
          <t>No</t>
        </is>
      </c>
      <c r="I508" t="inlineStr">
        <is>
          <t>1</t>
        </is>
      </c>
      <c r="J508" t="inlineStr">
        <is>
          <t>No</t>
        </is>
      </c>
      <c r="K508" t="inlineStr">
        <is>
          <t>No</t>
        </is>
      </c>
      <c r="L508" t="inlineStr">
        <is>
          <t>0</t>
        </is>
      </c>
      <c r="M508" t="inlineStr">
        <is>
          <t>Casado, Stacey Dolgin.</t>
        </is>
      </c>
      <c r="N508" t="inlineStr">
        <is>
          <t>Barcelona : Anthropos, 1991.</t>
        </is>
      </c>
      <c r="O508" t="inlineStr">
        <is>
          <t>1991</t>
        </is>
      </c>
      <c r="P508" t="inlineStr">
        <is>
          <t>1. ed.</t>
        </is>
      </c>
      <c r="Q508" t="inlineStr">
        <is>
          <t>spa</t>
        </is>
      </c>
      <c r="R508" t="inlineStr">
        <is>
          <t xml:space="preserve">sp </t>
        </is>
      </c>
      <c r="S508" t="inlineStr">
        <is>
          <t>Ambitos literarios. Ensayo ; 38</t>
        </is>
      </c>
      <c r="T508" t="inlineStr">
        <is>
          <t xml:space="preserve">PQ </t>
        </is>
      </c>
      <c r="U508" t="n">
        <v>1</v>
      </c>
      <c r="V508" t="n">
        <v>1</v>
      </c>
      <c r="W508" t="inlineStr">
        <is>
          <t>2004-06-10</t>
        </is>
      </c>
      <c r="X508" t="inlineStr">
        <is>
          <t>2004-06-10</t>
        </is>
      </c>
      <c r="Y508" t="inlineStr">
        <is>
          <t>2004-06-10</t>
        </is>
      </c>
      <c r="Z508" t="inlineStr">
        <is>
          <t>2004-06-10</t>
        </is>
      </c>
      <c r="AA508" t="n">
        <v>183</v>
      </c>
      <c r="AB508" t="n">
        <v>130</v>
      </c>
      <c r="AC508" t="n">
        <v>133</v>
      </c>
      <c r="AD508" t="n">
        <v>2</v>
      </c>
      <c r="AE508" t="n">
        <v>2</v>
      </c>
      <c r="AF508" t="n">
        <v>5</v>
      </c>
      <c r="AG508" t="n">
        <v>5</v>
      </c>
      <c r="AH508" t="n">
        <v>2</v>
      </c>
      <c r="AI508" t="n">
        <v>2</v>
      </c>
      <c r="AJ508" t="n">
        <v>2</v>
      </c>
      <c r="AK508" t="n">
        <v>2</v>
      </c>
      <c r="AL508" t="n">
        <v>1</v>
      </c>
      <c r="AM508" t="n">
        <v>1</v>
      </c>
      <c r="AN508" t="n">
        <v>1</v>
      </c>
      <c r="AO508" t="n">
        <v>1</v>
      </c>
      <c r="AP508" t="n">
        <v>0</v>
      </c>
      <c r="AQ508" t="n">
        <v>0</v>
      </c>
      <c r="AR508" t="inlineStr">
        <is>
          <t>No</t>
        </is>
      </c>
      <c r="AS508" t="inlineStr">
        <is>
          <t>Yes</t>
        </is>
      </c>
      <c r="AT508">
        <f>HYPERLINK("http://catalog.hathitrust.org/Record/002465553","HathiTrust Record")</f>
        <v/>
      </c>
      <c r="AU508">
        <f>HYPERLINK("https://creighton-primo.hosted.exlibrisgroup.com/primo-explore/search?tab=default_tab&amp;search_scope=EVERYTHING&amp;vid=01CRU&amp;lang=en_US&amp;offset=0&amp;query=any,contains,991004271019702656","Catalog Record")</f>
        <v/>
      </c>
      <c r="AV508">
        <f>HYPERLINK("http://www.worldcat.org/oclc/24804278","WorldCat Record")</f>
        <v/>
      </c>
      <c r="AW508" t="inlineStr">
        <is>
          <t>352631032:spa</t>
        </is>
      </c>
      <c r="AX508" t="inlineStr">
        <is>
          <t>24804278</t>
        </is>
      </c>
      <c r="AY508" t="inlineStr">
        <is>
          <t>991004271019702656</t>
        </is>
      </c>
      <c r="AZ508" t="inlineStr">
        <is>
          <t>991004271019702656</t>
        </is>
      </c>
      <c r="BA508" t="inlineStr">
        <is>
          <t>2272253810002656</t>
        </is>
      </c>
      <c r="BB508" t="inlineStr">
        <is>
          <t>BOOK</t>
        </is>
      </c>
      <c r="BD508" t="inlineStr">
        <is>
          <t>9788476582862</t>
        </is>
      </c>
      <c r="BE508" t="inlineStr">
        <is>
          <t>32285004909361</t>
        </is>
      </c>
      <c r="BF508" t="inlineStr">
        <is>
          <t>893446120</t>
        </is>
      </c>
    </row>
    <row r="509">
      <c r="A509" t="inlineStr">
        <is>
          <t>No</t>
        </is>
      </c>
      <c r="B509" t="inlineStr">
        <is>
          <t>CURAL</t>
        </is>
      </c>
      <c r="C509" t="inlineStr">
        <is>
          <t>SHELVES</t>
        </is>
      </c>
      <c r="D509" t="inlineStr">
        <is>
          <t>PQ6144 .G66 1972</t>
        </is>
      </c>
      <c r="E509" t="inlineStr">
        <is>
          <t>0                      PQ 6144000G  66          1972</t>
        </is>
      </c>
      <c r="F509" t="inlineStr">
        <is>
          <t>La nueva ficción hispanoamericana / [por] Luis González del Valle [y] Vicente Cabrera ; a través de M.A. Asturias y G. García Marquez.</t>
        </is>
      </c>
      <c r="H509" t="inlineStr">
        <is>
          <t>No</t>
        </is>
      </c>
      <c r="I509" t="inlineStr">
        <is>
          <t>1</t>
        </is>
      </c>
      <c r="J509" t="inlineStr">
        <is>
          <t>No</t>
        </is>
      </c>
      <c r="K509" t="inlineStr">
        <is>
          <t>No</t>
        </is>
      </c>
      <c r="L509" t="inlineStr">
        <is>
          <t>0</t>
        </is>
      </c>
      <c r="M509" t="inlineStr">
        <is>
          <t>González del Valle, Luis.</t>
        </is>
      </c>
      <c r="N509" t="inlineStr">
        <is>
          <t>New York : E. Torres, [1972]</t>
        </is>
      </c>
      <c r="O509" t="inlineStr">
        <is>
          <t>1972</t>
        </is>
      </c>
      <c r="Q509" t="inlineStr">
        <is>
          <t>spa</t>
        </is>
      </c>
      <c r="R509" t="inlineStr">
        <is>
          <t>nyu</t>
        </is>
      </c>
      <c r="S509" t="inlineStr">
        <is>
          <t>Torres library of literary studies ; 8</t>
        </is>
      </c>
      <c r="T509" t="inlineStr">
        <is>
          <t xml:space="preserve">PQ </t>
        </is>
      </c>
      <c r="U509" t="n">
        <v>2</v>
      </c>
      <c r="V509" t="n">
        <v>2</v>
      </c>
      <c r="W509" t="inlineStr">
        <is>
          <t>1995-08-21</t>
        </is>
      </c>
      <c r="X509" t="inlineStr">
        <is>
          <t>1995-08-21</t>
        </is>
      </c>
      <c r="Y509" t="inlineStr">
        <is>
          <t>1995-08-17</t>
        </is>
      </c>
      <c r="Z509" t="inlineStr">
        <is>
          <t>1995-08-17</t>
        </is>
      </c>
      <c r="AA509" t="n">
        <v>91</v>
      </c>
      <c r="AB509" t="n">
        <v>75</v>
      </c>
      <c r="AC509" t="n">
        <v>280</v>
      </c>
      <c r="AD509" t="n">
        <v>2</v>
      </c>
      <c r="AE509" t="n">
        <v>3</v>
      </c>
      <c r="AF509" t="n">
        <v>6</v>
      </c>
      <c r="AG509" t="n">
        <v>16</v>
      </c>
      <c r="AH509" t="n">
        <v>0</v>
      </c>
      <c r="AI509" t="n">
        <v>4</v>
      </c>
      <c r="AJ509" t="n">
        <v>1</v>
      </c>
      <c r="AK509" t="n">
        <v>5</v>
      </c>
      <c r="AL509" t="n">
        <v>4</v>
      </c>
      <c r="AM509" t="n">
        <v>10</v>
      </c>
      <c r="AN509" t="n">
        <v>1</v>
      </c>
      <c r="AO509" t="n">
        <v>2</v>
      </c>
      <c r="AP509" t="n">
        <v>0</v>
      </c>
      <c r="AQ509" t="n">
        <v>0</v>
      </c>
      <c r="AR509" t="inlineStr">
        <is>
          <t>No</t>
        </is>
      </c>
      <c r="AS509" t="inlineStr">
        <is>
          <t>No</t>
        </is>
      </c>
      <c r="AU509">
        <f>HYPERLINK("https://creighton-primo.hosted.exlibrisgroup.com/primo-explore/search?tab=default_tab&amp;search_scope=EVERYTHING&amp;vid=01CRU&amp;lang=en_US&amp;offset=0&amp;query=any,contains,991003297079702656","Catalog Record")</f>
        <v/>
      </c>
      <c r="AV509">
        <f>HYPERLINK("http://www.worldcat.org/oclc/820059","WorldCat Record")</f>
        <v/>
      </c>
      <c r="AW509" t="inlineStr">
        <is>
          <t>366831698:spa</t>
        </is>
      </c>
      <c r="AX509" t="inlineStr">
        <is>
          <t>820059</t>
        </is>
      </c>
      <c r="AY509" t="inlineStr">
        <is>
          <t>991003297079702656</t>
        </is>
      </c>
      <c r="AZ509" t="inlineStr">
        <is>
          <t>991003297079702656</t>
        </is>
      </c>
      <c r="BA509" t="inlineStr">
        <is>
          <t>2258963790002656</t>
        </is>
      </c>
      <c r="BB509" t="inlineStr">
        <is>
          <t>BOOK</t>
        </is>
      </c>
      <c r="BD509" t="inlineStr">
        <is>
          <t>9780883030080</t>
        </is>
      </c>
      <c r="BE509" t="inlineStr">
        <is>
          <t>32285002080264</t>
        </is>
      </c>
      <c r="BF509" t="inlineStr">
        <is>
          <t>893240065</t>
        </is>
      </c>
    </row>
    <row r="510">
      <c r="A510" t="inlineStr">
        <is>
          <t>No</t>
        </is>
      </c>
      <c r="B510" t="inlineStr">
        <is>
          <t>CURAL</t>
        </is>
      </c>
      <c r="C510" t="inlineStr">
        <is>
          <t>SHELVES</t>
        </is>
      </c>
      <c r="D510" t="inlineStr">
        <is>
          <t>PQ6147.C5 T5</t>
        </is>
      </c>
      <c r="E510" t="inlineStr">
        <is>
          <t>0                      PQ 6147000C  5                  T  5</t>
        </is>
      </c>
      <c r="F510" t="inlineStr">
        <is>
          <t>Spanish and Portuguese romances of chivalry : the revival of the romance of chivalry in the Spanish Peninsula, and its extension and influence abroad / by Henry Thomas.</t>
        </is>
      </c>
      <c r="H510" t="inlineStr">
        <is>
          <t>No</t>
        </is>
      </c>
      <c r="I510" t="inlineStr">
        <is>
          <t>1</t>
        </is>
      </c>
      <c r="J510" t="inlineStr">
        <is>
          <t>No</t>
        </is>
      </c>
      <c r="K510" t="inlineStr">
        <is>
          <t>No</t>
        </is>
      </c>
      <c r="L510" t="inlineStr">
        <is>
          <t>0</t>
        </is>
      </c>
      <c r="M510" t="inlineStr">
        <is>
          <t>Thomas, Henry, Sir, 1878-1952.</t>
        </is>
      </c>
      <c r="N510" t="inlineStr">
        <is>
          <t>Cambridge : The University Press, 1920.</t>
        </is>
      </c>
      <c r="O510" t="inlineStr">
        <is>
          <t>1920</t>
        </is>
      </c>
      <c r="Q510" t="inlineStr">
        <is>
          <t>eng</t>
        </is>
      </c>
      <c r="R510" t="inlineStr">
        <is>
          <t>mau</t>
        </is>
      </c>
      <c r="T510" t="inlineStr">
        <is>
          <t xml:space="preserve">PQ </t>
        </is>
      </c>
      <c r="U510" t="n">
        <v>11</v>
      </c>
      <c r="V510" t="n">
        <v>11</v>
      </c>
      <c r="W510" t="inlineStr">
        <is>
          <t>2004-11-30</t>
        </is>
      </c>
      <c r="X510" t="inlineStr">
        <is>
          <t>2004-11-30</t>
        </is>
      </c>
      <c r="Y510" t="inlineStr">
        <is>
          <t>1991-05-22</t>
        </is>
      </c>
      <c r="Z510" t="inlineStr">
        <is>
          <t>1991-05-22</t>
        </is>
      </c>
      <c r="AA510" t="n">
        <v>282</v>
      </c>
      <c r="AB510" t="n">
        <v>221</v>
      </c>
      <c r="AC510" t="n">
        <v>347</v>
      </c>
      <c r="AD510" t="n">
        <v>2</v>
      </c>
      <c r="AE510" t="n">
        <v>4</v>
      </c>
      <c r="AF510" t="n">
        <v>15</v>
      </c>
      <c r="AG510" t="n">
        <v>22</v>
      </c>
      <c r="AH510" t="n">
        <v>5</v>
      </c>
      <c r="AI510" t="n">
        <v>6</v>
      </c>
      <c r="AJ510" t="n">
        <v>2</v>
      </c>
      <c r="AK510" t="n">
        <v>5</v>
      </c>
      <c r="AL510" t="n">
        <v>11</v>
      </c>
      <c r="AM510" t="n">
        <v>13</v>
      </c>
      <c r="AN510" t="n">
        <v>1</v>
      </c>
      <c r="AO510" t="n">
        <v>3</v>
      </c>
      <c r="AP510" t="n">
        <v>0</v>
      </c>
      <c r="AQ510" t="n">
        <v>0</v>
      </c>
      <c r="AR510" t="inlineStr">
        <is>
          <t>Yes</t>
        </is>
      </c>
      <c r="AS510" t="inlineStr">
        <is>
          <t>No</t>
        </is>
      </c>
      <c r="AT510">
        <f>HYPERLINK("http://catalog.hathitrust.org/Record/100769412","HathiTrust Record")</f>
        <v/>
      </c>
      <c r="AU510">
        <f>HYPERLINK("https://creighton-primo.hosted.exlibrisgroup.com/primo-explore/search?tab=default_tab&amp;search_scope=EVERYTHING&amp;vid=01CRU&amp;lang=en_US&amp;offset=0&amp;query=any,contains,991004403969702656","Catalog Record")</f>
        <v/>
      </c>
      <c r="AV510">
        <f>HYPERLINK("http://www.worldcat.org/oclc/3312699","WorldCat Record")</f>
        <v/>
      </c>
      <c r="AW510" t="inlineStr">
        <is>
          <t>3980082744:eng</t>
        </is>
      </c>
      <c r="AX510" t="inlineStr">
        <is>
          <t>3312699</t>
        </is>
      </c>
      <c r="AY510" t="inlineStr">
        <is>
          <t>991004403969702656</t>
        </is>
      </c>
      <c r="AZ510" t="inlineStr">
        <is>
          <t>991004403969702656</t>
        </is>
      </c>
      <c r="BA510" t="inlineStr">
        <is>
          <t>2272819570002656</t>
        </is>
      </c>
      <c r="BB510" t="inlineStr">
        <is>
          <t>BOOK</t>
        </is>
      </c>
      <c r="BE510" t="inlineStr">
        <is>
          <t>32285000598903</t>
        </is>
      </c>
      <c r="BF510" t="inlineStr">
        <is>
          <t>893229322</t>
        </is>
      </c>
    </row>
    <row r="511">
      <c r="A511" t="inlineStr">
        <is>
          <t>No</t>
        </is>
      </c>
      <c r="B511" t="inlineStr">
        <is>
          <t>CURAL</t>
        </is>
      </c>
      <c r="C511" t="inlineStr">
        <is>
          <t>SHELVES</t>
        </is>
      </c>
      <c r="D511" t="inlineStr">
        <is>
          <t>PQ6147.C6 C63 1990</t>
        </is>
      </c>
      <c r="E511" t="inlineStr">
        <is>
          <t>0                      PQ 6147000C  6                  C  63          1990</t>
        </is>
      </c>
      <c r="F511" t="inlineStr">
        <is>
          <t>La narrativa colombiana después de García Márquez y otros ensayos / por Juan Gustavo Cobo Borda.</t>
        </is>
      </c>
      <c r="H511" t="inlineStr">
        <is>
          <t>No</t>
        </is>
      </c>
      <c r="I511" t="inlineStr">
        <is>
          <t>1</t>
        </is>
      </c>
      <c r="J511" t="inlineStr">
        <is>
          <t>No</t>
        </is>
      </c>
      <c r="K511" t="inlineStr">
        <is>
          <t>No</t>
        </is>
      </c>
      <c r="L511" t="inlineStr">
        <is>
          <t>0</t>
        </is>
      </c>
      <c r="M511" t="inlineStr">
        <is>
          <t>Cobo Borda, J. G., 1948-</t>
        </is>
      </c>
      <c r="N511" t="inlineStr">
        <is>
          <t>Bogotá, Colombia : Tercer Mundo Editores, 1990.</t>
        </is>
      </c>
      <c r="O511" t="inlineStr">
        <is>
          <t>1990</t>
        </is>
      </c>
      <c r="P511" t="inlineStr">
        <is>
          <t>2a ed.</t>
        </is>
      </c>
      <c r="Q511" t="inlineStr">
        <is>
          <t>spa</t>
        </is>
      </c>
      <c r="R511" t="inlineStr">
        <is>
          <t xml:space="preserve">ck </t>
        </is>
      </c>
      <c r="S511" t="inlineStr">
        <is>
          <t>Crítica literaria</t>
        </is>
      </c>
      <c r="T511" t="inlineStr">
        <is>
          <t xml:space="preserve">PQ </t>
        </is>
      </c>
      <c r="U511" t="n">
        <v>2</v>
      </c>
      <c r="V511" t="n">
        <v>2</v>
      </c>
      <c r="W511" t="inlineStr">
        <is>
          <t>1995-08-21</t>
        </is>
      </c>
      <c r="X511" t="inlineStr">
        <is>
          <t>1995-08-21</t>
        </is>
      </c>
      <c r="Y511" t="inlineStr">
        <is>
          <t>1995-08-17</t>
        </is>
      </c>
      <c r="Z511" t="inlineStr">
        <is>
          <t>1995-08-17</t>
        </is>
      </c>
      <c r="AA511" t="n">
        <v>15</v>
      </c>
      <c r="AB511" t="n">
        <v>7</v>
      </c>
      <c r="AC511" t="n">
        <v>103</v>
      </c>
      <c r="AD511" t="n">
        <v>1</v>
      </c>
      <c r="AE511" t="n">
        <v>1</v>
      </c>
      <c r="AF511" t="n">
        <v>0</v>
      </c>
      <c r="AG511" t="n">
        <v>5</v>
      </c>
      <c r="AH511" t="n">
        <v>0</v>
      </c>
      <c r="AI511" t="n">
        <v>1</v>
      </c>
      <c r="AJ511" t="n">
        <v>0</v>
      </c>
      <c r="AK511" t="n">
        <v>3</v>
      </c>
      <c r="AL511" t="n">
        <v>0</v>
      </c>
      <c r="AM511" t="n">
        <v>4</v>
      </c>
      <c r="AN511" t="n">
        <v>0</v>
      </c>
      <c r="AO511" t="n">
        <v>0</v>
      </c>
      <c r="AP511" t="n">
        <v>0</v>
      </c>
      <c r="AQ511" t="n">
        <v>0</v>
      </c>
      <c r="AR511" t="inlineStr">
        <is>
          <t>No</t>
        </is>
      </c>
      <c r="AS511" t="inlineStr">
        <is>
          <t>No</t>
        </is>
      </c>
      <c r="AU511">
        <f>HYPERLINK("https://creighton-primo.hosted.exlibrisgroup.com/primo-explore/search?tab=default_tab&amp;search_scope=EVERYTHING&amp;vid=01CRU&amp;lang=en_US&amp;offset=0&amp;query=any,contains,991002251009702656","Catalog Record")</f>
        <v/>
      </c>
      <c r="AV511">
        <f>HYPERLINK("http://www.worldcat.org/oclc/29123582","WorldCat Record")</f>
        <v/>
      </c>
      <c r="AW511" t="inlineStr">
        <is>
          <t>351217931:spa</t>
        </is>
      </c>
      <c r="AX511" t="inlineStr">
        <is>
          <t>29123582</t>
        </is>
      </c>
      <c r="AY511" t="inlineStr">
        <is>
          <t>991002251009702656</t>
        </is>
      </c>
      <c r="AZ511" t="inlineStr">
        <is>
          <t>991002251009702656</t>
        </is>
      </c>
      <c r="BA511" t="inlineStr">
        <is>
          <t>2272746590002656</t>
        </is>
      </c>
      <c r="BB511" t="inlineStr">
        <is>
          <t>BOOK</t>
        </is>
      </c>
      <c r="BD511" t="inlineStr">
        <is>
          <t>9789586012256</t>
        </is>
      </c>
      <c r="BE511" t="inlineStr">
        <is>
          <t>32285002080421</t>
        </is>
      </c>
      <c r="BF511" t="inlineStr">
        <is>
          <t>893892320</t>
        </is>
      </c>
    </row>
    <row r="512">
      <c r="A512" t="inlineStr">
        <is>
          <t>No</t>
        </is>
      </c>
      <c r="B512" t="inlineStr">
        <is>
          <t>CURAL</t>
        </is>
      </c>
      <c r="C512" t="inlineStr">
        <is>
          <t>SHELVES</t>
        </is>
      </c>
      <c r="D512" t="inlineStr">
        <is>
          <t>PQ6147.P5 H3 1967</t>
        </is>
      </c>
      <c r="E512" t="inlineStr">
        <is>
          <t>0                      PQ 6147000P  5                  H  3           1967</t>
        </is>
      </c>
      <c r="F512" t="inlineStr">
        <is>
          <t>La mujer en la novela picaresca española / por Thomas Hanrahan ; nota preliminar por Rafael Ma. de Hornedo.</t>
        </is>
      </c>
      <c r="G512" t="inlineStr">
        <is>
          <t>V. 2</t>
        </is>
      </c>
      <c r="H512" t="inlineStr">
        <is>
          <t>Yes</t>
        </is>
      </c>
      <c r="I512" t="inlineStr">
        <is>
          <t>1</t>
        </is>
      </c>
      <c r="J512" t="inlineStr">
        <is>
          <t>No</t>
        </is>
      </c>
      <c r="K512" t="inlineStr">
        <is>
          <t>No</t>
        </is>
      </c>
      <c r="L512" t="inlineStr">
        <is>
          <t>0</t>
        </is>
      </c>
      <c r="M512" t="inlineStr">
        <is>
          <t>Hanrahan, Thomas, 1956-</t>
        </is>
      </c>
      <c r="N512" t="inlineStr">
        <is>
          <t>Madrid : Ediciones J. Porrúa Turanzas, 1967.</t>
        </is>
      </c>
      <c r="O512" t="inlineStr">
        <is>
          <t>1967</t>
        </is>
      </c>
      <c r="Q512" t="inlineStr">
        <is>
          <t>spa</t>
        </is>
      </c>
      <c r="R512" t="inlineStr">
        <is>
          <t xml:space="preserve">sp </t>
        </is>
      </c>
      <c r="S512" t="inlineStr">
        <is>
          <t>Bibliotheca Tenanitla; libros españoles e hispanoamericanos, 9-10</t>
        </is>
      </c>
      <c r="T512" t="inlineStr">
        <is>
          <t xml:space="preserve">PQ </t>
        </is>
      </c>
      <c r="U512" t="n">
        <v>1</v>
      </c>
      <c r="V512" t="n">
        <v>2</v>
      </c>
      <c r="W512" t="inlineStr">
        <is>
          <t>2005-04-06</t>
        </is>
      </c>
      <c r="X512" t="inlineStr">
        <is>
          <t>2005-04-06</t>
        </is>
      </c>
      <c r="Y512" t="inlineStr">
        <is>
          <t>2005-04-06</t>
        </is>
      </c>
      <c r="Z512" t="inlineStr">
        <is>
          <t>2005-04-06</t>
        </is>
      </c>
      <c r="AA512" t="n">
        <v>213</v>
      </c>
      <c r="AB512" t="n">
        <v>180</v>
      </c>
      <c r="AC512" t="n">
        <v>182</v>
      </c>
      <c r="AD512" t="n">
        <v>2</v>
      </c>
      <c r="AE512" t="n">
        <v>2</v>
      </c>
      <c r="AF512" t="n">
        <v>13</v>
      </c>
      <c r="AG512" t="n">
        <v>13</v>
      </c>
      <c r="AH512" t="n">
        <v>4</v>
      </c>
      <c r="AI512" t="n">
        <v>4</v>
      </c>
      <c r="AJ512" t="n">
        <v>2</v>
      </c>
      <c r="AK512" t="n">
        <v>2</v>
      </c>
      <c r="AL512" t="n">
        <v>9</v>
      </c>
      <c r="AM512" t="n">
        <v>9</v>
      </c>
      <c r="AN512" t="n">
        <v>1</v>
      </c>
      <c r="AO512" t="n">
        <v>1</v>
      </c>
      <c r="AP512" t="n">
        <v>0</v>
      </c>
      <c r="AQ512" t="n">
        <v>0</v>
      </c>
      <c r="AR512" t="inlineStr">
        <is>
          <t>No</t>
        </is>
      </c>
      <c r="AS512" t="inlineStr">
        <is>
          <t>Yes</t>
        </is>
      </c>
      <c r="AT512">
        <f>HYPERLINK("http://catalog.hathitrust.org/Record/001037037","HathiTrust Record")</f>
        <v/>
      </c>
      <c r="AU512">
        <f>HYPERLINK("https://creighton-primo.hosted.exlibrisgroup.com/primo-explore/search?tab=default_tab&amp;search_scope=EVERYTHING&amp;vid=01CRU&amp;lang=en_US&amp;offset=0&amp;query=any,contains,991004523799702656","Catalog Record")</f>
        <v/>
      </c>
      <c r="AV512">
        <f>HYPERLINK("http://www.worldcat.org/oclc/734074","WorldCat Record")</f>
        <v/>
      </c>
      <c r="AW512" t="inlineStr">
        <is>
          <t>365218694:spa</t>
        </is>
      </c>
      <c r="AX512" t="inlineStr">
        <is>
          <t>734074</t>
        </is>
      </c>
      <c r="AY512" t="inlineStr">
        <is>
          <t>991004523799702656</t>
        </is>
      </c>
      <c r="AZ512" t="inlineStr">
        <is>
          <t>991004523799702656</t>
        </is>
      </c>
      <c r="BA512" t="inlineStr">
        <is>
          <t>2257603770002656</t>
        </is>
      </c>
      <c r="BB512" t="inlineStr">
        <is>
          <t>BOOK</t>
        </is>
      </c>
      <c r="BE512" t="inlineStr">
        <is>
          <t>32285005048383</t>
        </is>
      </c>
      <c r="BF512" t="inlineStr">
        <is>
          <t>893513341</t>
        </is>
      </c>
    </row>
    <row r="513">
      <c r="A513" t="inlineStr">
        <is>
          <t>No</t>
        </is>
      </c>
      <c r="B513" t="inlineStr">
        <is>
          <t>CURAL</t>
        </is>
      </c>
      <c r="C513" t="inlineStr">
        <is>
          <t>SHELVES</t>
        </is>
      </c>
      <c r="D513" t="inlineStr">
        <is>
          <t>PQ6147.P5 H3 1967</t>
        </is>
      </c>
      <c r="E513" t="inlineStr">
        <is>
          <t>0                      PQ 6147000P  5                  H  3           1967</t>
        </is>
      </c>
      <c r="F513" t="inlineStr">
        <is>
          <t>La mujer en la novela picaresca española / por Thomas Hanrahan ; nota preliminar por Rafael Ma. de Hornedo.</t>
        </is>
      </c>
      <c r="G513" t="inlineStr">
        <is>
          <t>V. 1</t>
        </is>
      </c>
      <c r="H513" t="inlineStr">
        <is>
          <t>Yes</t>
        </is>
      </c>
      <c r="I513" t="inlineStr">
        <is>
          <t>1</t>
        </is>
      </c>
      <c r="J513" t="inlineStr">
        <is>
          <t>No</t>
        </is>
      </c>
      <c r="K513" t="inlineStr">
        <is>
          <t>No</t>
        </is>
      </c>
      <c r="L513" t="inlineStr">
        <is>
          <t>0</t>
        </is>
      </c>
      <c r="M513" t="inlineStr">
        <is>
          <t>Hanrahan, Thomas, 1956-</t>
        </is>
      </c>
      <c r="N513" t="inlineStr">
        <is>
          <t>Madrid : Ediciones J. Porrúa Turanzas, 1967.</t>
        </is>
      </c>
      <c r="O513" t="inlineStr">
        <is>
          <t>1967</t>
        </is>
      </c>
      <c r="Q513" t="inlineStr">
        <is>
          <t>spa</t>
        </is>
      </c>
      <c r="R513" t="inlineStr">
        <is>
          <t xml:space="preserve">sp </t>
        </is>
      </c>
      <c r="S513" t="inlineStr">
        <is>
          <t>Bibliotheca Tenanitla; libros españoles e hispanoamericanos, 9-10</t>
        </is>
      </c>
      <c r="T513" t="inlineStr">
        <is>
          <t xml:space="preserve">PQ </t>
        </is>
      </c>
      <c r="U513" t="n">
        <v>1</v>
      </c>
      <c r="V513" t="n">
        <v>2</v>
      </c>
      <c r="W513" t="inlineStr">
        <is>
          <t>2005-04-06</t>
        </is>
      </c>
      <c r="X513" t="inlineStr">
        <is>
          <t>2005-04-06</t>
        </is>
      </c>
      <c r="Y513" t="inlineStr">
        <is>
          <t>2005-04-06</t>
        </is>
      </c>
      <c r="Z513" t="inlineStr">
        <is>
          <t>2005-04-06</t>
        </is>
      </c>
      <c r="AA513" t="n">
        <v>213</v>
      </c>
      <c r="AB513" t="n">
        <v>180</v>
      </c>
      <c r="AC513" t="n">
        <v>182</v>
      </c>
      <c r="AD513" t="n">
        <v>2</v>
      </c>
      <c r="AE513" t="n">
        <v>2</v>
      </c>
      <c r="AF513" t="n">
        <v>13</v>
      </c>
      <c r="AG513" t="n">
        <v>13</v>
      </c>
      <c r="AH513" t="n">
        <v>4</v>
      </c>
      <c r="AI513" t="n">
        <v>4</v>
      </c>
      <c r="AJ513" t="n">
        <v>2</v>
      </c>
      <c r="AK513" t="n">
        <v>2</v>
      </c>
      <c r="AL513" t="n">
        <v>9</v>
      </c>
      <c r="AM513" t="n">
        <v>9</v>
      </c>
      <c r="AN513" t="n">
        <v>1</v>
      </c>
      <c r="AO513" t="n">
        <v>1</v>
      </c>
      <c r="AP513" t="n">
        <v>0</v>
      </c>
      <c r="AQ513" t="n">
        <v>0</v>
      </c>
      <c r="AR513" t="inlineStr">
        <is>
          <t>No</t>
        </is>
      </c>
      <c r="AS513" t="inlineStr">
        <is>
          <t>Yes</t>
        </is>
      </c>
      <c r="AT513">
        <f>HYPERLINK("http://catalog.hathitrust.org/Record/001037037","HathiTrust Record")</f>
        <v/>
      </c>
      <c r="AU513">
        <f>HYPERLINK("https://creighton-primo.hosted.exlibrisgroup.com/primo-explore/search?tab=default_tab&amp;search_scope=EVERYTHING&amp;vid=01CRU&amp;lang=en_US&amp;offset=0&amp;query=any,contains,991004523799702656","Catalog Record")</f>
        <v/>
      </c>
      <c r="AV513">
        <f>HYPERLINK("http://www.worldcat.org/oclc/734074","WorldCat Record")</f>
        <v/>
      </c>
      <c r="AW513" t="inlineStr">
        <is>
          <t>365218694:spa</t>
        </is>
      </c>
      <c r="AX513" t="inlineStr">
        <is>
          <t>734074</t>
        </is>
      </c>
      <c r="AY513" t="inlineStr">
        <is>
          <t>991004523799702656</t>
        </is>
      </c>
      <c r="AZ513" t="inlineStr">
        <is>
          <t>991004523799702656</t>
        </is>
      </c>
      <c r="BA513" t="inlineStr">
        <is>
          <t>2257603770002656</t>
        </is>
      </c>
      <c r="BB513" t="inlineStr">
        <is>
          <t>BOOK</t>
        </is>
      </c>
      <c r="BE513" t="inlineStr">
        <is>
          <t>32285005048375</t>
        </is>
      </c>
      <c r="BF513" t="inlineStr">
        <is>
          <t>893519756</t>
        </is>
      </c>
    </row>
    <row r="514">
      <c r="A514" t="inlineStr">
        <is>
          <t>No</t>
        </is>
      </c>
      <c r="B514" t="inlineStr">
        <is>
          <t>CURAL</t>
        </is>
      </c>
      <c r="C514" t="inlineStr">
        <is>
          <t>SHELVES</t>
        </is>
      </c>
      <c r="D514" t="inlineStr">
        <is>
          <t>PQ6147.P5 M5818</t>
        </is>
      </c>
      <c r="E514" t="inlineStr">
        <is>
          <t>0                      PQ 6147000P  5                  M  5818</t>
        </is>
      </c>
      <c r="F514" t="inlineStr">
        <is>
          <t>Itinerario de la novela picaresca española. Traducción de Enrique Sordo.</t>
        </is>
      </c>
      <c r="H514" t="inlineStr">
        <is>
          <t>No</t>
        </is>
      </c>
      <c r="I514" t="inlineStr">
        <is>
          <t>1</t>
        </is>
      </c>
      <c r="J514" t="inlineStr">
        <is>
          <t>No</t>
        </is>
      </c>
      <c r="K514" t="inlineStr">
        <is>
          <t>No</t>
        </is>
      </c>
      <c r="L514" t="inlineStr">
        <is>
          <t>0</t>
        </is>
      </c>
      <c r="M514" t="inlineStr">
        <is>
          <t>Del Monte, Alberto.</t>
        </is>
      </c>
      <c r="N514" t="inlineStr">
        <is>
          <t>[Barcelona] Lumen [1971]</t>
        </is>
      </c>
      <c r="O514" t="inlineStr">
        <is>
          <t>1971</t>
        </is>
      </c>
      <c r="Q514" t="inlineStr">
        <is>
          <t>spa</t>
        </is>
      </c>
      <c r="R514" t="inlineStr">
        <is>
          <t xml:space="preserve">sp </t>
        </is>
      </c>
      <c r="S514" t="inlineStr">
        <is>
          <t>Palabra en el tiempo ; 73</t>
        </is>
      </c>
      <c r="T514" t="inlineStr">
        <is>
          <t xml:space="preserve">PQ </t>
        </is>
      </c>
      <c r="U514" t="n">
        <v>0</v>
      </c>
      <c r="V514" t="n">
        <v>0</v>
      </c>
      <c r="W514" t="inlineStr">
        <is>
          <t>2001-01-22</t>
        </is>
      </c>
      <c r="X514" t="inlineStr">
        <is>
          <t>2001-01-22</t>
        </is>
      </c>
      <c r="Y514" t="inlineStr">
        <is>
          <t>1997-06-26</t>
        </is>
      </c>
      <c r="Z514" t="inlineStr">
        <is>
          <t>1997-06-26</t>
        </is>
      </c>
      <c r="AA514" t="n">
        <v>260</v>
      </c>
      <c r="AB514" t="n">
        <v>218</v>
      </c>
      <c r="AC514" t="n">
        <v>221</v>
      </c>
      <c r="AD514" t="n">
        <v>1</v>
      </c>
      <c r="AE514" t="n">
        <v>1</v>
      </c>
      <c r="AF514" t="n">
        <v>9</v>
      </c>
      <c r="AG514" t="n">
        <v>9</v>
      </c>
      <c r="AH514" t="n">
        <v>3</v>
      </c>
      <c r="AI514" t="n">
        <v>3</v>
      </c>
      <c r="AJ514" t="n">
        <v>4</v>
      </c>
      <c r="AK514" t="n">
        <v>4</v>
      </c>
      <c r="AL514" t="n">
        <v>5</v>
      </c>
      <c r="AM514" t="n">
        <v>5</v>
      </c>
      <c r="AN514" t="n">
        <v>0</v>
      </c>
      <c r="AO514" t="n">
        <v>0</v>
      </c>
      <c r="AP514" t="n">
        <v>0</v>
      </c>
      <c r="AQ514" t="n">
        <v>0</v>
      </c>
      <c r="AR514" t="inlineStr">
        <is>
          <t>No</t>
        </is>
      </c>
      <c r="AS514" t="inlineStr">
        <is>
          <t>Yes</t>
        </is>
      </c>
      <c r="AT514">
        <f>HYPERLINK("http://catalog.hathitrust.org/Record/001049403","HathiTrust Record")</f>
        <v/>
      </c>
      <c r="AU514">
        <f>HYPERLINK("https://creighton-primo.hosted.exlibrisgroup.com/primo-explore/search?tab=default_tab&amp;search_scope=EVERYTHING&amp;vid=01CRU&amp;lang=en_US&amp;offset=0&amp;query=any,contains,991003876239702656","Catalog Record")</f>
        <v/>
      </c>
      <c r="AV514">
        <f>HYPERLINK("http://www.worldcat.org/oclc/386115","WorldCat Record")</f>
        <v/>
      </c>
      <c r="AW514" t="inlineStr">
        <is>
          <t>22036707:spa</t>
        </is>
      </c>
      <c r="AX514" t="inlineStr">
        <is>
          <t>386115</t>
        </is>
      </c>
      <c r="AY514" t="inlineStr">
        <is>
          <t>991003876239702656</t>
        </is>
      </c>
      <c r="AZ514" t="inlineStr">
        <is>
          <t>991003876239702656</t>
        </is>
      </c>
      <c r="BA514" t="inlineStr">
        <is>
          <t>2268806440002656</t>
        </is>
      </c>
      <c r="BB514" t="inlineStr">
        <is>
          <t>BOOK</t>
        </is>
      </c>
      <c r="BE514" t="inlineStr">
        <is>
          <t>32285002516960</t>
        </is>
      </c>
      <c r="BF514" t="inlineStr">
        <is>
          <t>893705727</t>
        </is>
      </c>
    </row>
    <row r="515">
      <c r="A515" t="inlineStr">
        <is>
          <t>No</t>
        </is>
      </c>
      <c r="B515" t="inlineStr">
        <is>
          <t>CURAL</t>
        </is>
      </c>
      <c r="C515" t="inlineStr">
        <is>
          <t>SHELVES</t>
        </is>
      </c>
      <c r="D515" t="inlineStr">
        <is>
          <t>PQ6147.S5 T47 1997</t>
        </is>
      </c>
      <c r="E515" t="inlineStr">
        <is>
          <t>0                      PQ 6147000S  5                  T  47          1997</t>
        </is>
      </c>
      <c r="F515" t="inlineStr">
        <is>
          <t>Teoría e interpretación del cuento : estudios / editados por Peter Fröhlicher y Georges Güntert.</t>
        </is>
      </c>
      <c r="H515" t="inlineStr">
        <is>
          <t>No</t>
        </is>
      </c>
      <c r="I515" t="inlineStr">
        <is>
          <t>1</t>
        </is>
      </c>
      <c r="J515" t="inlineStr">
        <is>
          <t>No</t>
        </is>
      </c>
      <c r="K515" t="inlineStr">
        <is>
          <t>No</t>
        </is>
      </c>
      <c r="L515" t="inlineStr">
        <is>
          <t>0</t>
        </is>
      </c>
      <c r="N515" t="inlineStr">
        <is>
          <t>Bern ; New York : P. Lang, c1997.</t>
        </is>
      </c>
      <c r="O515" t="inlineStr">
        <is>
          <t>1997</t>
        </is>
      </c>
      <c r="P515" t="inlineStr">
        <is>
          <t>2nd ed., rev.</t>
        </is>
      </c>
      <c r="Q515" t="inlineStr">
        <is>
          <t>spa</t>
        </is>
      </c>
      <c r="R515" t="inlineStr">
        <is>
          <t xml:space="preserve">sz </t>
        </is>
      </c>
      <c r="S515" t="inlineStr">
        <is>
          <t>Perspectivas hispánicas</t>
        </is>
      </c>
      <c r="T515" t="inlineStr">
        <is>
          <t xml:space="preserve">PQ </t>
        </is>
      </c>
      <c r="U515" t="n">
        <v>1</v>
      </c>
      <c r="V515" t="n">
        <v>1</v>
      </c>
      <c r="W515" t="inlineStr">
        <is>
          <t>1998-03-24</t>
        </is>
      </c>
      <c r="X515" t="inlineStr">
        <is>
          <t>1998-03-24</t>
        </is>
      </c>
      <c r="Y515" t="inlineStr">
        <is>
          <t>1997-04-09</t>
        </is>
      </c>
      <c r="Z515" t="inlineStr">
        <is>
          <t>1997-04-09</t>
        </is>
      </c>
      <c r="AA515" t="n">
        <v>77</v>
      </c>
      <c r="AB515" t="n">
        <v>61</v>
      </c>
      <c r="AC515" t="n">
        <v>84</v>
      </c>
      <c r="AD515" t="n">
        <v>1</v>
      </c>
      <c r="AE515" t="n">
        <v>1</v>
      </c>
      <c r="AF515" t="n">
        <v>3</v>
      </c>
      <c r="AG515" t="n">
        <v>3</v>
      </c>
      <c r="AH515" t="n">
        <v>1</v>
      </c>
      <c r="AI515" t="n">
        <v>1</v>
      </c>
      <c r="AJ515" t="n">
        <v>0</v>
      </c>
      <c r="AK515" t="n">
        <v>0</v>
      </c>
      <c r="AL515" t="n">
        <v>2</v>
      </c>
      <c r="AM515" t="n">
        <v>2</v>
      </c>
      <c r="AN515" t="n">
        <v>0</v>
      </c>
      <c r="AO515" t="n">
        <v>0</v>
      </c>
      <c r="AP515" t="n">
        <v>0</v>
      </c>
      <c r="AQ515" t="n">
        <v>0</v>
      </c>
      <c r="AR515" t="inlineStr">
        <is>
          <t>No</t>
        </is>
      </c>
      <c r="AS515" t="inlineStr">
        <is>
          <t>No</t>
        </is>
      </c>
      <c r="AU515">
        <f>HYPERLINK("https://creighton-primo.hosted.exlibrisgroup.com/primo-explore/search?tab=default_tab&amp;search_scope=EVERYTHING&amp;vid=01CRU&amp;lang=en_US&amp;offset=0&amp;query=any,contains,991002776459702656","Catalog Record")</f>
        <v/>
      </c>
      <c r="AV515">
        <f>HYPERLINK("http://www.worldcat.org/oclc/39654614","WorldCat Record")</f>
        <v/>
      </c>
      <c r="AW515" t="inlineStr">
        <is>
          <t>350594489:spa</t>
        </is>
      </c>
      <c r="AX515" t="inlineStr">
        <is>
          <t>39654614</t>
        </is>
      </c>
      <c r="AY515" t="inlineStr">
        <is>
          <t>991002776459702656</t>
        </is>
      </c>
      <c r="AZ515" t="inlineStr">
        <is>
          <t>991002776459702656</t>
        </is>
      </c>
      <c r="BA515" t="inlineStr">
        <is>
          <t>2256379240002656</t>
        </is>
      </c>
      <c r="BB515" t="inlineStr">
        <is>
          <t>BOOK</t>
        </is>
      </c>
      <c r="BD515" t="inlineStr">
        <is>
          <t>9783906756899</t>
        </is>
      </c>
      <c r="BE515" t="inlineStr">
        <is>
          <t>32285002495926</t>
        </is>
      </c>
      <c r="BF515" t="inlineStr">
        <is>
          <t>893227261</t>
        </is>
      </c>
    </row>
    <row r="516">
      <c r="A516" t="inlineStr">
        <is>
          <t>No</t>
        </is>
      </c>
      <c r="B516" t="inlineStr">
        <is>
          <t>CURAL</t>
        </is>
      </c>
      <c r="C516" t="inlineStr">
        <is>
          <t>SHELVES</t>
        </is>
      </c>
      <c r="D516" t="inlineStr">
        <is>
          <t>PQ6150 .A95 1987</t>
        </is>
      </c>
      <c r="E516" t="inlineStr">
        <is>
          <t>0                      PQ 6150000A  95          1987</t>
        </is>
      </c>
      <c r="F516" t="inlineStr">
        <is>
          <t>Los gaeneros ensayaisticos en el siglo XX / Pedro Aullaon de Haro.</t>
        </is>
      </c>
      <c r="H516" t="inlineStr">
        <is>
          <t>No</t>
        </is>
      </c>
      <c r="I516" t="inlineStr">
        <is>
          <t>1</t>
        </is>
      </c>
      <c r="J516" t="inlineStr">
        <is>
          <t>No</t>
        </is>
      </c>
      <c r="K516" t="inlineStr">
        <is>
          <t>No</t>
        </is>
      </c>
      <c r="L516" t="inlineStr">
        <is>
          <t>0</t>
        </is>
      </c>
      <c r="M516" t="inlineStr">
        <is>
          <t>Aullaon de Haro, Pedro.</t>
        </is>
      </c>
      <c r="N516" t="inlineStr">
        <is>
          <t>Madrid : Taurus, c1987.</t>
        </is>
      </c>
      <c r="O516" t="inlineStr">
        <is>
          <t>1987</t>
        </is>
      </c>
      <c r="Q516" t="inlineStr">
        <is>
          <t>spa</t>
        </is>
      </c>
      <c r="R516" t="inlineStr">
        <is>
          <t xml:space="preserve">sp </t>
        </is>
      </c>
      <c r="S516" t="inlineStr">
        <is>
          <t>Historia craitica de la literatura hispaanica ; 26</t>
        </is>
      </c>
      <c r="T516" t="inlineStr">
        <is>
          <t xml:space="preserve">PQ </t>
        </is>
      </c>
      <c r="U516" t="n">
        <v>1</v>
      </c>
      <c r="V516" t="n">
        <v>1</v>
      </c>
      <c r="W516" t="inlineStr">
        <is>
          <t>2004-08-04</t>
        </is>
      </c>
      <c r="X516" t="inlineStr">
        <is>
          <t>2004-08-04</t>
        </is>
      </c>
      <c r="Y516" t="inlineStr">
        <is>
          <t>2004-08-04</t>
        </is>
      </c>
      <c r="Z516" t="inlineStr">
        <is>
          <t>2004-08-04</t>
        </is>
      </c>
      <c r="AA516" t="n">
        <v>125</v>
      </c>
      <c r="AB516" t="n">
        <v>85</v>
      </c>
      <c r="AC516" t="n">
        <v>93</v>
      </c>
      <c r="AD516" t="n">
        <v>1</v>
      </c>
      <c r="AE516" t="n">
        <v>1</v>
      </c>
      <c r="AF516" t="n">
        <v>2</v>
      </c>
      <c r="AG516" t="n">
        <v>2</v>
      </c>
      <c r="AH516" t="n">
        <v>0</v>
      </c>
      <c r="AI516" t="n">
        <v>0</v>
      </c>
      <c r="AJ516" t="n">
        <v>1</v>
      </c>
      <c r="AK516" t="n">
        <v>1</v>
      </c>
      <c r="AL516" t="n">
        <v>1</v>
      </c>
      <c r="AM516" t="n">
        <v>1</v>
      </c>
      <c r="AN516" t="n">
        <v>0</v>
      </c>
      <c r="AO516" t="n">
        <v>0</v>
      </c>
      <c r="AP516" t="n">
        <v>0</v>
      </c>
      <c r="AQ516" t="n">
        <v>0</v>
      </c>
      <c r="AR516" t="inlineStr">
        <is>
          <t>No</t>
        </is>
      </c>
      <c r="AS516" t="inlineStr">
        <is>
          <t>No</t>
        </is>
      </c>
      <c r="AU516">
        <f>HYPERLINK("https://creighton-primo.hosted.exlibrisgroup.com/primo-explore/search?tab=default_tab&amp;search_scope=EVERYTHING&amp;vid=01CRU&amp;lang=en_US&amp;offset=0&amp;query=any,contains,991004336079702656","Catalog Record")</f>
        <v/>
      </c>
      <c r="AV516">
        <f>HYPERLINK("http://www.worldcat.org/oclc/17758952","WorldCat Record")</f>
        <v/>
      </c>
      <c r="AW516" t="inlineStr">
        <is>
          <t>350175000:spa</t>
        </is>
      </c>
      <c r="AX516" t="inlineStr">
        <is>
          <t>17758952</t>
        </is>
      </c>
      <c r="AY516" t="inlineStr">
        <is>
          <t>991004336079702656</t>
        </is>
      </c>
      <c r="AZ516" t="inlineStr">
        <is>
          <t>991004336079702656</t>
        </is>
      </c>
      <c r="BA516" t="inlineStr">
        <is>
          <t>2262037790002656</t>
        </is>
      </c>
      <c r="BB516" t="inlineStr">
        <is>
          <t>BOOK</t>
        </is>
      </c>
      <c r="BD516" t="inlineStr">
        <is>
          <t>9788430625260</t>
        </is>
      </c>
      <c r="BE516" t="inlineStr">
        <is>
          <t>32285004928502</t>
        </is>
      </c>
      <c r="BF516" t="inlineStr">
        <is>
          <t>893436168</t>
        </is>
      </c>
    </row>
    <row r="517">
      <c r="A517" t="inlineStr">
        <is>
          <t>No</t>
        </is>
      </c>
      <c r="B517" t="inlineStr">
        <is>
          <t>CURAL</t>
        </is>
      </c>
      <c r="C517" t="inlineStr">
        <is>
          <t>SHELVES</t>
        </is>
      </c>
      <c r="D517" t="inlineStr">
        <is>
          <t>PQ6161 .G85</t>
        </is>
      </c>
      <c r="E517" t="inlineStr">
        <is>
          <t>0                      PQ 6161000G  85</t>
        </is>
      </c>
      <c r="F517" t="inlineStr">
        <is>
          <t>Leyendas de José hijo de Jacob y de Alejandro Magno : sacadas de dos manuscritos moriscos de la Biblioteca Nacional de Madrid / por F. Guillén Robles.</t>
        </is>
      </c>
      <c r="H517" t="inlineStr">
        <is>
          <t>No</t>
        </is>
      </c>
      <c r="I517" t="inlineStr">
        <is>
          <t>1</t>
        </is>
      </c>
      <c r="J517" t="inlineStr">
        <is>
          <t>No</t>
        </is>
      </c>
      <c r="K517" t="inlineStr">
        <is>
          <t>No</t>
        </is>
      </c>
      <c r="L517" t="inlineStr">
        <is>
          <t>0</t>
        </is>
      </c>
      <c r="N517" t="inlineStr">
        <is>
          <t>Zaragoza : Imprenta del Hospicio Provincial 1888.</t>
        </is>
      </c>
      <c r="O517" t="inlineStr">
        <is>
          <t>1888</t>
        </is>
      </c>
      <c r="Q517" t="inlineStr">
        <is>
          <t>spa</t>
        </is>
      </c>
      <c r="R517" t="inlineStr">
        <is>
          <t xml:space="preserve">sp </t>
        </is>
      </c>
      <c r="T517" t="inlineStr">
        <is>
          <t xml:space="preserve">PQ </t>
        </is>
      </c>
      <c r="U517" t="n">
        <v>0</v>
      </c>
      <c r="V517" t="n">
        <v>0</v>
      </c>
      <c r="W517" t="inlineStr">
        <is>
          <t>2004-04-13</t>
        </is>
      </c>
      <c r="X517" t="inlineStr">
        <is>
          <t>2004-04-13</t>
        </is>
      </c>
      <c r="Y517" t="inlineStr">
        <is>
          <t>1998-01-27</t>
        </is>
      </c>
      <c r="Z517" t="inlineStr">
        <is>
          <t>1998-01-27</t>
        </is>
      </c>
      <c r="AA517" t="n">
        <v>42</v>
      </c>
      <c r="AB517" t="n">
        <v>31</v>
      </c>
      <c r="AC517" t="n">
        <v>46</v>
      </c>
      <c r="AD517" t="n">
        <v>1</v>
      </c>
      <c r="AE517" t="n">
        <v>1</v>
      </c>
      <c r="AF517" t="n">
        <v>0</v>
      </c>
      <c r="AG517" t="n">
        <v>0</v>
      </c>
      <c r="AH517" t="n">
        <v>0</v>
      </c>
      <c r="AI517" t="n">
        <v>0</v>
      </c>
      <c r="AJ517" t="n">
        <v>0</v>
      </c>
      <c r="AK517" t="n">
        <v>0</v>
      </c>
      <c r="AL517" t="n">
        <v>0</v>
      </c>
      <c r="AM517" t="n">
        <v>0</v>
      </c>
      <c r="AN517" t="n">
        <v>0</v>
      </c>
      <c r="AO517" t="n">
        <v>0</v>
      </c>
      <c r="AP517" t="n">
        <v>0</v>
      </c>
      <c r="AQ517" t="n">
        <v>0</v>
      </c>
      <c r="AR517" t="inlineStr">
        <is>
          <t>Yes</t>
        </is>
      </c>
      <c r="AS517" t="inlineStr">
        <is>
          <t>No</t>
        </is>
      </c>
      <c r="AT517">
        <f>HYPERLINK("http://catalog.hathitrust.org/Record/001880837","HathiTrust Record")</f>
        <v/>
      </c>
      <c r="AU517">
        <f>HYPERLINK("https://creighton-primo.hosted.exlibrisgroup.com/primo-explore/search?tab=default_tab&amp;search_scope=EVERYTHING&amp;vid=01CRU&amp;lang=en_US&amp;offset=0&amp;query=any,contains,991004908609702656","Catalog Record")</f>
        <v/>
      </c>
      <c r="AV517">
        <f>HYPERLINK("http://www.worldcat.org/oclc/5972585","WorldCat Record")</f>
        <v/>
      </c>
      <c r="AW517" t="inlineStr">
        <is>
          <t>426303728:spa</t>
        </is>
      </c>
      <c r="AX517" t="inlineStr">
        <is>
          <t>5972585</t>
        </is>
      </c>
      <c r="AY517" t="inlineStr">
        <is>
          <t>991004908609702656</t>
        </is>
      </c>
      <c r="AZ517" t="inlineStr">
        <is>
          <t>991004908609702656</t>
        </is>
      </c>
      <c r="BA517" t="inlineStr">
        <is>
          <t>2266130600002656</t>
        </is>
      </c>
      <c r="BB517" t="inlineStr">
        <is>
          <t>BOOK</t>
        </is>
      </c>
      <c r="BE517" t="inlineStr">
        <is>
          <t>32285003328480</t>
        </is>
      </c>
      <c r="BF517" t="inlineStr">
        <is>
          <t>893719543</t>
        </is>
      </c>
    </row>
    <row r="518">
      <c r="A518" t="inlineStr">
        <is>
          <t>No</t>
        </is>
      </c>
      <c r="B518" t="inlineStr">
        <is>
          <t>CURAL</t>
        </is>
      </c>
      <c r="C518" t="inlineStr">
        <is>
          <t>SHELVES</t>
        </is>
      </c>
      <c r="D518" t="inlineStr">
        <is>
          <t>PQ6171 .C6</t>
        </is>
      </c>
      <c r="E518" t="inlineStr">
        <is>
          <t>0                      PQ 6171000C  6</t>
        </is>
      </c>
      <c r="F518" t="inlineStr">
        <is>
          <t>Obras completas de Juan Alvarez Gato; editadas con notas y una introducción por Jenaro Artiles Rodríguez.</t>
        </is>
      </c>
      <c r="G518" t="inlineStr">
        <is>
          <t>V.4</t>
        </is>
      </c>
      <c r="H518" t="inlineStr">
        <is>
          <t>No</t>
        </is>
      </c>
      <c r="I518" t="inlineStr">
        <is>
          <t>1</t>
        </is>
      </c>
      <c r="J518" t="inlineStr">
        <is>
          <t>No</t>
        </is>
      </c>
      <c r="K518" t="inlineStr">
        <is>
          <t>No</t>
        </is>
      </c>
      <c r="L518" t="inlineStr">
        <is>
          <t>0</t>
        </is>
      </c>
      <c r="M518" t="inlineStr">
        <is>
          <t>Alvarez Gato, Juan, active 15th century.</t>
        </is>
      </c>
      <c r="N518" t="inlineStr">
        <is>
          <t>Madrid [Compaña ibero-americana de publicaciones] 1928.</t>
        </is>
      </c>
      <c r="O518" t="inlineStr">
        <is>
          <t>1928</t>
        </is>
      </c>
      <c r="Q518" t="inlineStr">
        <is>
          <t>spa</t>
        </is>
      </c>
      <c r="R518" t="inlineStr">
        <is>
          <t xml:space="preserve">xx </t>
        </is>
      </c>
      <c r="S518" t="inlineStr">
        <is>
          <t>Added t.p.: Los clásicos olvidados ... pub. bajo la dirección de Pedro Sáinz y Rodriguez ... vol. iv</t>
        </is>
      </c>
      <c r="T518" t="inlineStr">
        <is>
          <t xml:space="preserve">PQ </t>
        </is>
      </c>
      <c r="U518" t="n">
        <v>0</v>
      </c>
      <c r="V518" t="n">
        <v>0</v>
      </c>
      <c r="W518" t="inlineStr">
        <is>
          <t>2004-01-28</t>
        </is>
      </c>
      <c r="X518" t="inlineStr">
        <is>
          <t>2004-01-28</t>
        </is>
      </c>
      <c r="Y518" t="inlineStr">
        <is>
          <t>1997-06-26</t>
        </is>
      </c>
      <c r="Z518" t="inlineStr">
        <is>
          <t>1997-06-26</t>
        </is>
      </c>
      <c r="AA518" t="n">
        <v>110</v>
      </c>
      <c r="AB518" t="n">
        <v>87</v>
      </c>
      <c r="AC518" t="n">
        <v>88</v>
      </c>
      <c r="AD518" t="n">
        <v>2</v>
      </c>
      <c r="AE518" t="n">
        <v>2</v>
      </c>
      <c r="AF518" t="n">
        <v>4</v>
      </c>
      <c r="AG518" t="n">
        <v>4</v>
      </c>
      <c r="AH518" t="n">
        <v>2</v>
      </c>
      <c r="AI518" t="n">
        <v>2</v>
      </c>
      <c r="AJ518" t="n">
        <v>2</v>
      </c>
      <c r="AK518" t="n">
        <v>2</v>
      </c>
      <c r="AL518" t="n">
        <v>2</v>
      </c>
      <c r="AM518" t="n">
        <v>2</v>
      </c>
      <c r="AN518" t="n">
        <v>1</v>
      </c>
      <c r="AO518" t="n">
        <v>1</v>
      </c>
      <c r="AP518" t="n">
        <v>0</v>
      </c>
      <c r="AQ518" t="n">
        <v>0</v>
      </c>
      <c r="AR518" t="inlineStr">
        <is>
          <t>No</t>
        </is>
      </c>
      <c r="AS518" t="inlineStr">
        <is>
          <t>Yes</t>
        </is>
      </c>
      <c r="AT518">
        <f>HYPERLINK("http://catalog.hathitrust.org/Record/003291464","HathiTrust Record")</f>
        <v/>
      </c>
      <c r="AU518">
        <f>HYPERLINK("https://creighton-primo.hosted.exlibrisgroup.com/primo-explore/search?tab=default_tab&amp;search_scope=EVERYTHING&amp;vid=01CRU&amp;lang=en_US&amp;offset=0&amp;query=any,contains,991003614929702656","Catalog Record")</f>
        <v/>
      </c>
      <c r="AV518">
        <f>HYPERLINK("http://www.worldcat.org/oclc/1198322","WorldCat Record")</f>
        <v/>
      </c>
      <c r="AW518" t="inlineStr">
        <is>
          <t>2161311:spa</t>
        </is>
      </c>
      <c r="AX518" t="inlineStr">
        <is>
          <t>1198322</t>
        </is>
      </c>
      <c r="AY518" t="inlineStr">
        <is>
          <t>991003614929702656</t>
        </is>
      </c>
      <c r="AZ518" t="inlineStr">
        <is>
          <t>991003614929702656</t>
        </is>
      </c>
      <c r="BA518" t="inlineStr">
        <is>
          <t>2266929160002656</t>
        </is>
      </c>
      <c r="BB518" t="inlineStr">
        <is>
          <t>BOOK</t>
        </is>
      </c>
      <c r="BE518" t="inlineStr">
        <is>
          <t>32285002517083</t>
        </is>
      </c>
      <c r="BF518" t="inlineStr">
        <is>
          <t>893717882</t>
        </is>
      </c>
    </row>
    <row r="519">
      <c r="A519" t="inlineStr">
        <is>
          <t>No</t>
        </is>
      </c>
      <c r="B519" t="inlineStr">
        <is>
          <t>CURAL</t>
        </is>
      </c>
      <c r="C519" t="inlineStr">
        <is>
          <t>SHELVES</t>
        </is>
      </c>
      <c r="D519" t="inlineStr">
        <is>
          <t>PQ6172 .C48</t>
        </is>
      </c>
      <c r="E519" t="inlineStr">
        <is>
          <t>0                      PQ 6172000C  48</t>
        </is>
      </c>
      <c r="F519" t="inlineStr">
        <is>
          <t>A new anthology of Spanish literature [by] Richard E. Chandler &amp; Kessel Schwartz.</t>
        </is>
      </c>
      <c r="G519" t="inlineStr">
        <is>
          <t>V.2</t>
        </is>
      </c>
      <c r="H519" t="inlineStr">
        <is>
          <t>Yes</t>
        </is>
      </c>
      <c r="I519" t="inlineStr">
        <is>
          <t>1</t>
        </is>
      </c>
      <c r="J519" t="inlineStr">
        <is>
          <t>No</t>
        </is>
      </c>
      <c r="K519" t="inlineStr">
        <is>
          <t>No</t>
        </is>
      </c>
      <c r="L519" t="inlineStr">
        <is>
          <t>0</t>
        </is>
      </c>
      <c r="M519" t="inlineStr">
        <is>
          <t>Chandler, Richard E. (Richard Eugene), 1916-2008 compiler.</t>
        </is>
      </c>
      <c r="N519" t="inlineStr">
        <is>
          <t>[Baton Rouge] Louisiana State University Press [1967]</t>
        </is>
      </c>
      <c r="O519" t="inlineStr">
        <is>
          <t>1967</t>
        </is>
      </c>
      <c r="Q519" t="inlineStr">
        <is>
          <t>eng</t>
        </is>
      </c>
      <c r="R519" t="inlineStr">
        <is>
          <t>lau</t>
        </is>
      </c>
      <c r="T519" t="inlineStr">
        <is>
          <t xml:space="preserve">PQ </t>
        </is>
      </c>
      <c r="U519" t="n">
        <v>0</v>
      </c>
      <c r="V519" t="n">
        <v>7</v>
      </c>
      <c r="X519" t="inlineStr">
        <is>
          <t>2001-12-01</t>
        </is>
      </c>
      <c r="Y519" t="inlineStr">
        <is>
          <t>1997-06-26</t>
        </is>
      </c>
      <c r="Z519" t="inlineStr">
        <is>
          <t>1997-06-26</t>
        </is>
      </c>
      <c r="AA519" t="n">
        <v>614</v>
      </c>
      <c r="AB519" t="n">
        <v>585</v>
      </c>
      <c r="AC519" t="n">
        <v>585</v>
      </c>
      <c r="AD519" t="n">
        <v>4</v>
      </c>
      <c r="AE519" t="n">
        <v>4</v>
      </c>
      <c r="AF519" t="n">
        <v>20</v>
      </c>
      <c r="AG519" t="n">
        <v>20</v>
      </c>
      <c r="AH519" t="n">
        <v>6</v>
      </c>
      <c r="AI519" t="n">
        <v>6</v>
      </c>
      <c r="AJ519" t="n">
        <v>6</v>
      </c>
      <c r="AK519" t="n">
        <v>6</v>
      </c>
      <c r="AL519" t="n">
        <v>9</v>
      </c>
      <c r="AM519" t="n">
        <v>9</v>
      </c>
      <c r="AN519" t="n">
        <v>3</v>
      </c>
      <c r="AO519" t="n">
        <v>3</v>
      </c>
      <c r="AP519" t="n">
        <v>0</v>
      </c>
      <c r="AQ519" t="n">
        <v>0</v>
      </c>
      <c r="AR519" t="inlineStr">
        <is>
          <t>No</t>
        </is>
      </c>
      <c r="AS519" t="inlineStr">
        <is>
          <t>No</t>
        </is>
      </c>
      <c r="AU519">
        <f>HYPERLINK("https://creighton-primo.hosted.exlibrisgroup.com/primo-explore/search?tab=default_tab&amp;search_scope=EVERYTHING&amp;vid=01CRU&amp;lang=en_US&amp;offset=0&amp;query=any,contains,991001397859702656","Catalog Record")</f>
        <v/>
      </c>
      <c r="AV519">
        <f>HYPERLINK("http://www.worldcat.org/oclc/228643","WorldCat Record")</f>
        <v/>
      </c>
      <c r="AW519" t="inlineStr">
        <is>
          <t>10628198162:eng</t>
        </is>
      </c>
      <c r="AX519" t="inlineStr">
        <is>
          <t>228643</t>
        </is>
      </c>
      <c r="AY519" t="inlineStr">
        <is>
          <t>991001397859702656</t>
        </is>
      </c>
      <c r="AZ519" t="inlineStr">
        <is>
          <t>991001397859702656</t>
        </is>
      </c>
      <c r="BA519" t="inlineStr">
        <is>
          <t>2256927640002656</t>
        </is>
      </c>
      <c r="BB519" t="inlineStr">
        <is>
          <t>BOOK</t>
        </is>
      </c>
      <c r="BE519" t="inlineStr">
        <is>
          <t>32285002517158</t>
        </is>
      </c>
      <c r="BF519" t="inlineStr">
        <is>
          <t>893522548</t>
        </is>
      </c>
    </row>
    <row r="520">
      <c r="A520" t="inlineStr">
        <is>
          <t>No</t>
        </is>
      </c>
      <c r="B520" t="inlineStr">
        <is>
          <t>CURAL</t>
        </is>
      </c>
      <c r="C520" t="inlineStr">
        <is>
          <t>SHELVES</t>
        </is>
      </c>
      <c r="D520" t="inlineStr">
        <is>
          <t>PQ6172 .C48</t>
        </is>
      </c>
      <c r="E520" t="inlineStr">
        <is>
          <t>0                      PQ 6172000C  48</t>
        </is>
      </c>
      <c r="F520" t="inlineStr">
        <is>
          <t>A new anthology of Spanish literature [by] Richard E. Chandler &amp; Kessel Schwartz.</t>
        </is>
      </c>
      <c r="G520" t="inlineStr">
        <is>
          <t>V.1</t>
        </is>
      </c>
      <c r="H520" t="inlineStr">
        <is>
          <t>Yes</t>
        </is>
      </c>
      <c r="I520" t="inlineStr">
        <is>
          <t>1</t>
        </is>
      </c>
      <c r="J520" t="inlineStr">
        <is>
          <t>No</t>
        </is>
      </c>
      <c r="K520" t="inlineStr">
        <is>
          <t>No</t>
        </is>
      </c>
      <c r="L520" t="inlineStr">
        <is>
          <t>0</t>
        </is>
      </c>
      <c r="M520" t="inlineStr">
        <is>
          <t>Chandler, Richard E. (Richard Eugene), 1916-2008 compiler.</t>
        </is>
      </c>
      <c r="N520" t="inlineStr">
        <is>
          <t>[Baton Rouge] Louisiana State University Press [1967]</t>
        </is>
      </c>
      <c r="O520" t="inlineStr">
        <is>
          <t>1967</t>
        </is>
      </c>
      <c r="Q520" t="inlineStr">
        <is>
          <t>eng</t>
        </is>
      </c>
      <c r="R520" t="inlineStr">
        <is>
          <t>lau</t>
        </is>
      </c>
      <c r="T520" t="inlineStr">
        <is>
          <t xml:space="preserve">PQ </t>
        </is>
      </c>
      <c r="U520" t="n">
        <v>7</v>
      </c>
      <c r="V520" t="n">
        <v>7</v>
      </c>
      <c r="W520" t="inlineStr">
        <is>
          <t>2001-12-01</t>
        </is>
      </c>
      <c r="X520" t="inlineStr">
        <is>
          <t>2001-12-01</t>
        </is>
      </c>
      <c r="Y520" t="inlineStr">
        <is>
          <t>1997-06-26</t>
        </is>
      </c>
      <c r="Z520" t="inlineStr">
        <is>
          <t>1997-06-26</t>
        </is>
      </c>
      <c r="AA520" t="n">
        <v>614</v>
      </c>
      <c r="AB520" t="n">
        <v>585</v>
      </c>
      <c r="AC520" t="n">
        <v>585</v>
      </c>
      <c r="AD520" t="n">
        <v>4</v>
      </c>
      <c r="AE520" t="n">
        <v>4</v>
      </c>
      <c r="AF520" t="n">
        <v>20</v>
      </c>
      <c r="AG520" t="n">
        <v>20</v>
      </c>
      <c r="AH520" t="n">
        <v>6</v>
      </c>
      <c r="AI520" t="n">
        <v>6</v>
      </c>
      <c r="AJ520" t="n">
        <v>6</v>
      </c>
      <c r="AK520" t="n">
        <v>6</v>
      </c>
      <c r="AL520" t="n">
        <v>9</v>
      </c>
      <c r="AM520" t="n">
        <v>9</v>
      </c>
      <c r="AN520" t="n">
        <v>3</v>
      </c>
      <c r="AO520" t="n">
        <v>3</v>
      </c>
      <c r="AP520" t="n">
        <v>0</v>
      </c>
      <c r="AQ520" t="n">
        <v>0</v>
      </c>
      <c r="AR520" t="inlineStr">
        <is>
          <t>No</t>
        </is>
      </c>
      <c r="AS520" t="inlineStr">
        <is>
          <t>No</t>
        </is>
      </c>
      <c r="AU520">
        <f>HYPERLINK("https://creighton-primo.hosted.exlibrisgroup.com/primo-explore/search?tab=default_tab&amp;search_scope=EVERYTHING&amp;vid=01CRU&amp;lang=en_US&amp;offset=0&amp;query=any,contains,991001397859702656","Catalog Record")</f>
        <v/>
      </c>
      <c r="AV520">
        <f>HYPERLINK("http://www.worldcat.org/oclc/228643","WorldCat Record")</f>
        <v/>
      </c>
      <c r="AW520" t="inlineStr">
        <is>
          <t>10628198162:eng</t>
        </is>
      </c>
      <c r="AX520" t="inlineStr">
        <is>
          <t>228643</t>
        </is>
      </c>
      <c r="AY520" t="inlineStr">
        <is>
          <t>991001397859702656</t>
        </is>
      </c>
      <c r="AZ520" t="inlineStr">
        <is>
          <t>991001397859702656</t>
        </is>
      </c>
      <c r="BA520" t="inlineStr">
        <is>
          <t>2256927640002656</t>
        </is>
      </c>
      <c r="BB520" t="inlineStr">
        <is>
          <t>BOOK</t>
        </is>
      </c>
      <c r="BE520" t="inlineStr">
        <is>
          <t>32285002517141</t>
        </is>
      </c>
      <c r="BF520" t="inlineStr">
        <is>
          <t>893522549</t>
        </is>
      </c>
    </row>
    <row r="521">
      <c r="A521" t="inlineStr">
        <is>
          <t>No</t>
        </is>
      </c>
      <c r="B521" t="inlineStr">
        <is>
          <t>CURAL</t>
        </is>
      </c>
      <c r="C521" t="inlineStr">
        <is>
          <t>SHELVES</t>
        </is>
      </c>
      <c r="D521" t="inlineStr">
        <is>
          <t>PQ6172 .R48 1960</t>
        </is>
      </c>
      <c r="E521" t="inlineStr">
        <is>
          <t>0                      PQ 6172000R  48          1960</t>
        </is>
      </c>
      <c r="F521" t="inlineStr">
        <is>
          <t>Antología general de la literatura española: verso, prosa, teatro [por] Angel del Río [y] Amelia A. de del Río.</t>
        </is>
      </c>
      <c r="G521" t="inlineStr">
        <is>
          <t>V.2</t>
        </is>
      </c>
      <c r="H521" t="inlineStr">
        <is>
          <t>Yes</t>
        </is>
      </c>
      <c r="I521" t="inlineStr">
        <is>
          <t>1</t>
        </is>
      </c>
      <c r="J521" t="inlineStr">
        <is>
          <t>No</t>
        </is>
      </c>
      <c r="K521" t="inlineStr">
        <is>
          <t>No</t>
        </is>
      </c>
      <c r="L521" t="inlineStr">
        <is>
          <t>0</t>
        </is>
      </c>
      <c r="M521" t="inlineStr">
        <is>
          <t>Río, Angel del, 1900-1962, editor.</t>
        </is>
      </c>
      <c r="N521" t="inlineStr">
        <is>
          <t>New York, Holt, Rinehart and Winston [1960]</t>
        </is>
      </c>
      <c r="O521" t="inlineStr">
        <is>
          <t>1960</t>
        </is>
      </c>
      <c r="P521" t="inlineStr">
        <is>
          <t>[2.] ed. corr. y aumentada.</t>
        </is>
      </c>
      <c r="Q521" t="inlineStr">
        <is>
          <t>spa</t>
        </is>
      </c>
      <c r="R521" t="inlineStr">
        <is>
          <t>nyu</t>
        </is>
      </c>
      <c r="T521" t="inlineStr">
        <is>
          <t xml:space="preserve">PQ </t>
        </is>
      </c>
      <c r="U521" t="n">
        <v>0</v>
      </c>
      <c r="V521" t="n">
        <v>1</v>
      </c>
      <c r="X521" t="inlineStr">
        <is>
          <t>1998-10-30</t>
        </is>
      </c>
      <c r="Y521" t="inlineStr">
        <is>
          <t>1997-06-26</t>
        </is>
      </c>
      <c r="Z521" t="inlineStr">
        <is>
          <t>1997-06-26</t>
        </is>
      </c>
      <c r="AA521" t="n">
        <v>791</v>
      </c>
      <c r="AB521" t="n">
        <v>754</v>
      </c>
      <c r="AC521" t="n">
        <v>940</v>
      </c>
      <c r="AD521" t="n">
        <v>10</v>
      </c>
      <c r="AE521" t="n">
        <v>10</v>
      </c>
      <c r="AF521" t="n">
        <v>38</v>
      </c>
      <c r="AG521" t="n">
        <v>45</v>
      </c>
      <c r="AH521" t="n">
        <v>16</v>
      </c>
      <c r="AI521" t="n">
        <v>20</v>
      </c>
      <c r="AJ521" t="n">
        <v>8</v>
      </c>
      <c r="AK521" t="n">
        <v>8</v>
      </c>
      <c r="AL521" t="n">
        <v>13</v>
      </c>
      <c r="AM521" t="n">
        <v>18</v>
      </c>
      <c r="AN521" t="n">
        <v>8</v>
      </c>
      <c r="AO521" t="n">
        <v>8</v>
      </c>
      <c r="AP521" t="n">
        <v>0</v>
      </c>
      <c r="AQ521" t="n">
        <v>0</v>
      </c>
      <c r="AR521" t="inlineStr">
        <is>
          <t>No</t>
        </is>
      </c>
      <c r="AS521" t="inlineStr">
        <is>
          <t>Yes</t>
        </is>
      </c>
      <c r="AT521">
        <f>HYPERLINK("http://catalog.hathitrust.org/Record/007923727","HathiTrust Record")</f>
        <v/>
      </c>
      <c r="AU521">
        <f>HYPERLINK("https://creighton-primo.hosted.exlibrisgroup.com/primo-explore/search?tab=default_tab&amp;search_scope=EVERYTHING&amp;vid=01CRU&amp;lang=en_US&amp;offset=0&amp;query=any,contains,991002219939702656","Catalog Record")</f>
        <v/>
      </c>
      <c r="AV521">
        <f>HYPERLINK("http://www.worldcat.org/oclc/289808","WorldCat Record")</f>
        <v/>
      </c>
      <c r="AW521" t="inlineStr">
        <is>
          <t>4915866161:spa</t>
        </is>
      </c>
      <c r="AX521" t="inlineStr">
        <is>
          <t>289808</t>
        </is>
      </c>
      <c r="AY521" t="inlineStr">
        <is>
          <t>991002219939702656</t>
        </is>
      </c>
      <c r="AZ521" t="inlineStr">
        <is>
          <t>991002219939702656</t>
        </is>
      </c>
      <c r="BA521" t="inlineStr">
        <is>
          <t>2262015890002656</t>
        </is>
      </c>
      <c r="BB521" t="inlineStr">
        <is>
          <t>BOOK</t>
        </is>
      </c>
      <c r="BE521" t="inlineStr">
        <is>
          <t>32285002517224</t>
        </is>
      </c>
      <c r="BF521" t="inlineStr">
        <is>
          <t>893433636</t>
        </is>
      </c>
    </row>
    <row r="522">
      <c r="A522" t="inlineStr">
        <is>
          <t>No</t>
        </is>
      </c>
      <c r="B522" t="inlineStr">
        <is>
          <t>CURAL</t>
        </is>
      </c>
      <c r="C522" t="inlineStr">
        <is>
          <t>SHELVES</t>
        </is>
      </c>
      <c r="D522" t="inlineStr">
        <is>
          <t>PQ6172 .R48 1960</t>
        </is>
      </c>
      <c r="E522" t="inlineStr">
        <is>
          <t>0                      PQ 6172000R  48          1960</t>
        </is>
      </c>
      <c r="F522" t="inlineStr">
        <is>
          <t>Antología general de la literatura española: verso, prosa, teatro [por] Angel del Río [y] Amelia A. de del Río.</t>
        </is>
      </c>
      <c r="G522" t="inlineStr">
        <is>
          <t>V.1</t>
        </is>
      </c>
      <c r="H522" t="inlineStr">
        <is>
          <t>Yes</t>
        </is>
      </c>
      <c r="I522" t="inlineStr">
        <is>
          <t>1</t>
        </is>
      </c>
      <c r="J522" t="inlineStr">
        <is>
          <t>No</t>
        </is>
      </c>
      <c r="K522" t="inlineStr">
        <is>
          <t>No</t>
        </is>
      </c>
      <c r="L522" t="inlineStr">
        <is>
          <t>0</t>
        </is>
      </c>
      <c r="M522" t="inlineStr">
        <is>
          <t>Río, Angel del, 1900-1962, editor.</t>
        </is>
      </c>
      <c r="N522" t="inlineStr">
        <is>
          <t>New York, Holt, Rinehart and Winston [1960]</t>
        </is>
      </c>
      <c r="O522" t="inlineStr">
        <is>
          <t>1960</t>
        </is>
      </c>
      <c r="P522" t="inlineStr">
        <is>
          <t>[2.] ed. corr. y aumentada.</t>
        </is>
      </c>
      <c r="Q522" t="inlineStr">
        <is>
          <t>spa</t>
        </is>
      </c>
      <c r="R522" t="inlineStr">
        <is>
          <t>nyu</t>
        </is>
      </c>
      <c r="T522" t="inlineStr">
        <is>
          <t xml:space="preserve">PQ </t>
        </is>
      </c>
      <c r="U522" t="n">
        <v>1</v>
      </c>
      <c r="V522" t="n">
        <v>1</v>
      </c>
      <c r="W522" t="inlineStr">
        <is>
          <t>1998-10-30</t>
        </is>
      </c>
      <c r="X522" t="inlineStr">
        <is>
          <t>1998-10-30</t>
        </is>
      </c>
      <c r="Y522" t="inlineStr">
        <is>
          <t>1997-06-26</t>
        </is>
      </c>
      <c r="Z522" t="inlineStr">
        <is>
          <t>1997-06-26</t>
        </is>
      </c>
      <c r="AA522" t="n">
        <v>791</v>
      </c>
      <c r="AB522" t="n">
        <v>754</v>
      </c>
      <c r="AC522" t="n">
        <v>940</v>
      </c>
      <c r="AD522" t="n">
        <v>10</v>
      </c>
      <c r="AE522" t="n">
        <v>10</v>
      </c>
      <c r="AF522" t="n">
        <v>38</v>
      </c>
      <c r="AG522" t="n">
        <v>45</v>
      </c>
      <c r="AH522" t="n">
        <v>16</v>
      </c>
      <c r="AI522" t="n">
        <v>20</v>
      </c>
      <c r="AJ522" t="n">
        <v>8</v>
      </c>
      <c r="AK522" t="n">
        <v>8</v>
      </c>
      <c r="AL522" t="n">
        <v>13</v>
      </c>
      <c r="AM522" t="n">
        <v>18</v>
      </c>
      <c r="AN522" t="n">
        <v>8</v>
      </c>
      <c r="AO522" t="n">
        <v>8</v>
      </c>
      <c r="AP522" t="n">
        <v>0</v>
      </c>
      <c r="AQ522" t="n">
        <v>0</v>
      </c>
      <c r="AR522" t="inlineStr">
        <is>
          <t>No</t>
        </is>
      </c>
      <c r="AS522" t="inlineStr">
        <is>
          <t>Yes</t>
        </is>
      </c>
      <c r="AT522">
        <f>HYPERLINK("http://catalog.hathitrust.org/Record/007923727","HathiTrust Record")</f>
        <v/>
      </c>
      <c r="AU522">
        <f>HYPERLINK("https://creighton-primo.hosted.exlibrisgroup.com/primo-explore/search?tab=default_tab&amp;search_scope=EVERYTHING&amp;vid=01CRU&amp;lang=en_US&amp;offset=0&amp;query=any,contains,991002219939702656","Catalog Record")</f>
        <v/>
      </c>
      <c r="AV522">
        <f>HYPERLINK("http://www.worldcat.org/oclc/289808","WorldCat Record")</f>
        <v/>
      </c>
      <c r="AW522" t="inlineStr">
        <is>
          <t>4915866161:spa</t>
        </is>
      </c>
      <c r="AX522" t="inlineStr">
        <is>
          <t>289808</t>
        </is>
      </c>
      <c r="AY522" t="inlineStr">
        <is>
          <t>991002219939702656</t>
        </is>
      </c>
      <c r="AZ522" t="inlineStr">
        <is>
          <t>991002219939702656</t>
        </is>
      </c>
      <c r="BA522" t="inlineStr">
        <is>
          <t>2262015890002656</t>
        </is>
      </c>
      <c r="BB522" t="inlineStr">
        <is>
          <t>BOOK</t>
        </is>
      </c>
      <c r="BE522" t="inlineStr">
        <is>
          <t>32285002517216</t>
        </is>
      </c>
      <c r="BF522" t="inlineStr">
        <is>
          <t>893427348</t>
        </is>
      </c>
    </row>
    <row r="523">
      <c r="A523" t="inlineStr">
        <is>
          <t>No</t>
        </is>
      </c>
      <c r="B523" t="inlineStr">
        <is>
          <t>CURAL</t>
        </is>
      </c>
      <c r="C523" t="inlineStr">
        <is>
          <t>SHELVES</t>
        </is>
      </c>
      <c r="D523" t="inlineStr">
        <is>
          <t>PQ6172.D5 A5</t>
        </is>
      </c>
      <c r="E523" t="inlineStr">
        <is>
          <t>0                      PQ 6172000D  5                  A  5</t>
        </is>
      </c>
      <c r="F523" t="inlineStr">
        <is>
          <t>Antología mayor de la literatura española. Dirección, prólogo y notas de Guillermo Díaz-Plaja.</t>
        </is>
      </c>
      <c r="G523" t="inlineStr">
        <is>
          <t>V.4</t>
        </is>
      </c>
      <c r="H523" t="inlineStr">
        <is>
          <t>Yes</t>
        </is>
      </c>
      <c r="I523" t="inlineStr">
        <is>
          <t>1</t>
        </is>
      </c>
      <c r="J523" t="inlineStr">
        <is>
          <t>No</t>
        </is>
      </c>
      <c r="K523" t="inlineStr">
        <is>
          <t>No</t>
        </is>
      </c>
      <c r="L523" t="inlineStr">
        <is>
          <t>0</t>
        </is>
      </c>
      <c r="M523" t="inlineStr">
        <is>
          <t>Díaz-Plaja, Guillermo, 1909-1984, editor.</t>
        </is>
      </c>
      <c r="N523" t="inlineStr">
        <is>
          <t>Barcelona, Editorial Labor, 1958-61.</t>
        </is>
      </c>
      <c r="O523" t="inlineStr">
        <is>
          <t>1958</t>
        </is>
      </c>
      <c r="Q523" t="inlineStr">
        <is>
          <t>spa</t>
        </is>
      </c>
      <c r="R523" t="inlineStr">
        <is>
          <t xml:space="preserve">sp </t>
        </is>
      </c>
      <c r="S523" t="inlineStr">
        <is>
          <t>Thesaurus litterae; antologías Labor de la literatura universal. España, 1-4</t>
        </is>
      </c>
      <c r="T523" t="inlineStr">
        <is>
          <t xml:space="preserve">PQ </t>
        </is>
      </c>
      <c r="U523" t="n">
        <v>0</v>
      </c>
      <c r="V523" t="n">
        <v>1</v>
      </c>
      <c r="X523" t="inlineStr">
        <is>
          <t>2001-09-26</t>
        </is>
      </c>
      <c r="Y523" t="inlineStr">
        <is>
          <t>1997-06-26</t>
        </is>
      </c>
      <c r="Z523" t="inlineStr">
        <is>
          <t>1997-06-26</t>
        </is>
      </c>
      <c r="AA523" t="n">
        <v>299</v>
      </c>
      <c r="AB523" t="n">
        <v>271</v>
      </c>
      <c r="AC523" t="n">
        <v>344</v>
      </c>
      <c r="AD523" t="n">
        <v>5</v>
      </c>
      <c r="AE523" t="n">
        <v>6</v>
      </c>
      <c r="AF523" t="n">
        <v>18</v>
      </c>
      <c r="AG523" t="n">
        <v>20</v>
      </c>
      <c r="AH523" t="n">
        <v>5</v>
      </c>
      <c r="AI523" t="n">
        <v>5</v>
      </c>
      <c r="AJ523" t="n">
        <v>5</v>
      </c>
      <c r="AK523" t="n">
        <v>5</v>
      </c>
      <c r="AL523" t="n">
        <v>9</v>
      </c>
      <c r="AM523" t="n">
        <v>10</v>
      </c>
      <c r="AN523" t="n">
        <v>4</v>
      </c>
      <c r="AO523" t="n">
        <v>5</v>
      </c>
      <c r="AP523" t="n">
        <v>0</v>
      </c>
      <c r="AQ523" t="n">
        <v>0</v>
      </c>
      <c r="AR523" t="inlineStr">
        <is>
          <t>No</t>
        </is>
      </c>
      <c r="AS523" t="inlineStr">
        <is>
          <t>Yes</t>
        </is>
      </c>
      <c r="AT523">
        <f>HYPERLINK("http://catalog.hathitrust.org/Record/000276479","HathiTrust Record")</f>
        <v/>
      </c>
      <c r="AU523">
        <f>HYPERLINK("https://creighton-primo.hosted.exlibrisgroup.com/primo-explore/search?tab=default_tab&amp;search_scope=EVERYTHING&amp;vid=01CRU&amp;lang=en_US&amp;offset=0&amp;query=any,contains,991004070659702656","Catalog Record")</f>
        <v/>
      </c>
      <c r="AV523">
        <f>HYPERLINK("http://www.worldcat.org/oclc/2299658","WorldCat Record")</f>
        <v/>
      </c>
      <c r="AW523" t="inlineStr">
        <is>
          <t>2864992853:spa</t>
        </is>
      </c>
      <c r="AX523" t="inlineStr">
        <is>
          <t>2299658</t>
        </is>
      </c>
      <c r="AY523" t="inlineStr">
        <is>
          <t>991004070659702656</t>
        </is>
      </c>
      <c r="AZ523" t="inlineStr">
        <is>
          <t>991004070659702656</t>
        </is>
      </c>
      <c r="BA523" t="inlineStr">
        <is>
          <t>2272456590002656</t>
        </is>
      </c>
      <c r="BB523" t="inlineStr">
        <is>
          <t>BOOK</t>
        </is>
      </c>
      <c r="BE523" t="inlineStr">
        <is>
          <t>32285002517190</t>
        </is>
      </c>
      <c r="BF523" t="inlineStr">
        <is>
          <t>893228895</t>
        </is>
      </c>
    </row>
    <row r="524">
      <c r="A524" t="inlineStr">
        <is>
          <t>No</t>
        </is>
      </c>
      <c r="B524" t="inlineStr">
        <is>
          <t>CURAL</t>
        </is>
      </c>
      <c r="C524" t="inlineStr">
        <is>
          <t>SHELVES</t>
        </is>
      </c>
      <c r="D524" t="inlineStr">
        <is>
          <t>PQ6172.D5 A5</t>
        </is>
      </c>
      <c r="E524" t="inlineStr">
        <is>
          <t>0                      PQ 6172000D  5                  A  5</t>
        </is>
      </c>
      <c r="F524" t="inlineStr">
        <is>
          <t>Antología mayor de la literatura española. Dirección, prólogo y notas de Guillermo Díaz-Plaja.</t>
        </is>
      </c>
      <c r="G524" t="inlineStr">
        <is>
          <t>V.3</t>
        </is>
      </c>
      <c r="H524" t="inlineStr">
        <is>
          <t>Yes</t>
        </is>
      </c>
      <c r="I524" t="inlineStr">
        <is>
          <t>1</t>
        </is>
      </c>
      <c r="J524" t="inlineStr">
        <is>
          <t>No</t>
        </is>
      </c>
      <c r="K524" t="inlineStr">
        <is>
          <t>No</t>
        </is>
      </c>
      <c r="L524" t="inlineStr">
        <is>
          <t>0</t>
        </is>
      </c>
      <c r="M524" t="inlineStr">
        <is>
          <t>Díaz-Plaja, Guillermo, 1909-1984, editor.</t>
        </is>
      </c>
      <c r="N524" t="inlineStr">
        <is>
          <t>Barcelona, Editorial Labor, 1958-61.</t>
        </is>
      </c>
      <c r="O524" t="inlineStr">
        <is>
          <t>1958</t>
        </is>
      </c>
      <c r="Q524" t="inlineStr">
        <is>
          <t>spa</t>
        </is>
      </c>
      <c r="R524" t="inlineStr">
        <is>
          <t xml:space="preserve">sp </t>
        </is>
      </c>
      <c r="S524" t="inlineStr">
        <is>
          <t>Thesaurus litterae; antologías Labor de la literatura universal. España, 1-4</t>
        </is>
      </c>
      <c r="T524" t="inlineStr">
        <is>
          <t xml:space="preserve">PQ </t>
        </is>
      </c>
      <c r="U524" t="n">
        <v>0</v>
      </c>
      <c r="V524" t="n">
        <v>1</v>
      </c>
      <c r="X524" t="inlineStr">
        <is>
          <t>2001-09-26</t>
        </is>
      </c>
      <c r="Y524" t="inlineStr">
        <is>
          <t>1997-06-26</t>
        </is>
      </c>
      <c r="Z524" t="inlineStr">
        <is>
          <t>1997-06-26</t>
        </is>
      </c>
      <c r="AA524" t="n">
        <v>299</v>
      </c>
      <c r="AB524" t="n">
        <v>271</v>
      </c>
      <c r="AC524" t="n">
        <v>344</v>
      </c>
      <c r="AD524" t="n">
        <v>5</v>
      </c>
      <c r="AE524" t="n">
        <v>6</v>
      </c>
      <c r="AF524" t="n">
        <v>18</v>
      </c>
      <c r="AG524" t="n">
        <v>20</v>
      </c>
      <c r="AH524" t="n">
        <v>5</v>
      </c>
      <c r="AI524" t="n">
        <v>5</v>
      </c>
      <c r="AJ524" t="n">
        <v>5</v>
      </c>
      <c r="AK524" t="n">
        <v>5</v>
      </c>
      <c r="AL524" t="n">
        <v>9</v>
      </c>
      <c r="AM524" t="n">
        <v>10</v>
      </c>
      <c r="AN524" t="n">
        <v>4</v>
      </c>
      <c r="AO524" t="n">
        <v>5</v>
      </c>
      <c r="AP524" t="n">
        <v>0</v>
      </c>
      <c r="AQ524" t="n">
        <v>0</v>
      </c>
      <c r="AR524" t="inlineStr">
        <is>
          <t>No</t>
        </is>
      </c>
      <c r="AS524" t="inlineStr">
        <is>
          <t>Yes</t>
        </is>
      </c>
      <c r="AT524">
        <f>HYPERLINK("http://catalog.hathitrust.org/Record/000276479","HathiTrust Record")</f>
        <v/>
      </c>
      <c r="AU524">
        <f>HYPERLINK("https://creighton-primo.hosted.exlibrisgroup.com/primo-explore/search?tab=default_tab&amp;search_scope=EVERYTHING&amp;vid=01CRU&amp;lang=en_US&amp;offset=0&amp;query=any,contains,991004070659702656","Catalog Record")</f>
        <v/>
      </c>
      <c r="AV524">
        <f>HYPERLINK("http://www.worldcat.org/oclc/2299658","WorldCat Record")</f>
        <v/>
      </c>
      <c r="AW524" t="inlineStr">
        <is>
          <t>2864992853:spa</t>
        </is>
      </c>
      <c r="AX524" t="inlineStr">
        <is>
          <t>2299658</t>
        </is>
      </c>
      <c r="AY524" t="inlineStr">
        <is>
          <t>991004070659702656</t>
        </is>
      </c>
      <c r="AZ524" t="inlineStr">
        <is>
          <t>991004070659702656</t>
        </is>
      </c>
      <c r="BA524" t="inlineStr">
        <is>
          <t>2272456590002656</t>
        </is>
      </c>
      <c r="BB524" t="inlineStr">
        <is>
          <t>BOOK</t>
        </is>
      </c>
      <c r="BE524" t="inlineStr">
        <is>
          <t>32285002517182</t>
        </is>
      </c>
      <c r="BF524" t="inlineStr">
        <is>
          <t>893228893</t>
        </is>
      </c>
    </row>
    <row r="525">
      <c r="A525" t="inlineStr">
        <is>
          <t>No</t>
        </is>
      </c>
      <c r="B525" t="inlineStr">
        <is>
          <t>CURAL</t>
        </is>
      </c>
      <c r="C525" t="inlineStr">
        <is>
          <t>SHELVES</t>
        </is>
      </c>
      <c r="D525" t="inlineStr">
        <is>
          <t>PQ6172.D5 A5</t>
        </is>
      </c>
      <c r="E525" t="inlineStr">
        <is>
          <t>0                      PQ 6172000D  5                  A  5</t>
        </is>
      </c>
      <c r="F525" t="inlineStr">
        <is>
          <t>Antología mayor de la literatura española. Dirección, prólogo y notas de Guillermo Díaz-Plaja.</t>
        </is>
      </c>
      <c r="G525" t="inlineStr">
        <is>
          <t>V.1</t>
        </is>
      </c>
      <c r="H525" t="inlineStr">
        <is>
          <t>Yes</t>
        </is>
      </c>
      <c r="I525" t="inlineStr">
        <is>
          <t>1</t>
        </is>
      </c>
      <c r="J525" t="inlineStr">
        <is>
          <t>No</t>
        </is>
      </c>
      <c r="K525" t="inlineStr">
        <is>
          <t>No</t>
        </is>
      </c>
      <c r="L525" t="inlineStr">
        <is>
          <t>0</t>
        </is>
      </c>
      <c r="M525" t="inlineStr">
        <is>
          <t>Díaz-Plaja, Guillermo, 1909-1984, editor.</t>
        </is>
      </c>
      <c r="N525" t="inlineStr">
        <is>
          <t>Barcelona, Editorial Labor, 1958-61.</t>
        </is>
      </c>
      <c r="O525" t="inlineStr">
        <is>
          <t>1958</t>
        </is>
      </c>
      <c r="Q525" t="inlineStr">
        <is>
          <t>spa</t>
        </is>
      </c>
      <c r="R525" t="inlineStr">
        <is>
          <t xml:space="preserve">sp </t>
        </is>
      </c>
      <c r="S525" t="inlineStr">
        <is>
          <t>Thesaurus litterae; antologías Labor de la literatura universal. España, 1-4</t>
        </is>
      </c>
      <c r="T525" t="inlineStr">
        <is>
          <t xml:space="preserve">PQ </t>
        </is>
      </c>
      <c r="U525" t="n">
        <v>1</v>
      </c>
      <c r="V525" t="n">
        <v>1</v>
      </c>
      <c r="W525" t="inlineStr">
        <is>
          <t>2001-09-26</t>
        </is>
      </c>
      <c r="X525" t="inlineStr">
        <is>
          <t>2001-09-26</t>
        </is>
      </c>
      <c r="Y525" t="inlineStr">
        <is>
          <t>1997-06-26</t>
        </is>
      </c>
      <c r="Z525" t="inlineStr">
        <is>
          <t>1997-06-26</t>
        </is>
      </c>
      <c r="AA525" t="n">
        <v>299</v>
      </c>
      <c r="AB525" t="n">
        <v>271</v>
      </c>
      <c r="AC525" t="n">
        <v>344</v>
      </c>
      <c r="AD525" t="n">
        <v>5</v>
      </c>
      <c r="AE525" t="n">
        <v>6</v>
      </c>
      <c r="AF525" t="n">
        <v>18</v>
      </c>
      <c r="AG525" t="n">
        <v>20</v>
      </c>
      <c r="AH525" t="n">
        <v>5</v>
      </c>
      <c r="AI525" t="n">
        <v>5</v>
      </c>
      <c r="AJ525" t="n">
        <v>5</v>
      </c>
      <c r="AK525" t="n">
        <v>5</v>
      </c>
      <c r="AL525" t="n">
        <v>9</v>
      </c>
      <c r="AM525" t="n">
        <v>10</v>
      </c>
      <c r="AN525" t="n">
        <v>4</v>
      </c>
      <c r="AO525" t="n">
        <v>5</v>
      </c>
      <c r="AP525" t="n">
        <v>0</v>
      </c>
      <c r="AQ525" t="n">
        <v>0</v>
      </c>
      <c r="AR525" t="inlineStr">
        <is>
          <t>No</t>
        </is>
      </c>
      <c r="AS525" t="inlineStr">
        <is>
          <t>Yes</t>
        </is>
      </c>
      <c r="AT525">
        <f>HYPERLINK("http://catalog.hathitrust.org/Record/000276479","HathiTrust Record")</f>
        <v/>
      </c>
      <c r="AU525">
        <f>HYPERLINK("https://creighton-primo.hosted.exlibrisgroup.com/primo-explore/search?tab=default_tab&amp;search_scope=EVERYTHING&amp;vid=01CRU&amp;lang=en_US&amp;offset=0&amp;query=any,contains,991004070659702656","Catalog Record")</f>
        <v/>
      </c>
      <c r="AV525">
        <f>HYPERLINK("http://www.worldcat.org/oclc/2299658","WorldCat Record")</f>
        <v/>
      </c>
      <c r="AW525" t="inlineStr">
        <is>
          <t>2864992853:spa</t>
        </is>
      </c>
      <c r="AX525" t="inlineStr">
        <is>
          <t>2299658</t>
        </is>
      </c>
      <c r="AY525" t="inlineStr">
        <is>
          <t>991004070659702656</t>
        </is>
      </c>
      <c r="AZ525" t="inlineStr">
        <is>
          <t>991004070659702656</t>
        </is>
      </c>
      <c r="BA525" t="inlineStr">
        <is>
          <t>2272456590002656</t>
        </is>
      </c>
      <c r="BB525" t="inlineStr">
        <is>
          <t>BOOK</t>
        </is>
      </c>
      <c r="BE525" t="inlineStr">
        <is>
          <t>32285002517166</t>
        </is>
      </c>
      <c r="BF525" t="inlineStr">
        <is>
          <t>893228894</t>
        </is>
      </c>
    </row>
    <row r="526">
      <c r="A526" t="inlineStr">
        <is>
          <t>No</t>
        </is>
      </c>
      <c r="B526" t="inlineStr">
        <is>
          <t>CURAL</t>
        </is>
      </c>
      <c r="C526" t="inlineStr">
        <is>
          <t>SHELVES</t>
        </is>
      </c>
      <c r="D526" t="inlineStr">
        <is>
          <t>PQ6172.D5 A5</t>
        </is>
      </c>
      <c r="E526" t="inlineStr">
        <is>
          <t>0                      PQ 6172000D  5                  A  5</t>
        </is>
      </c>
      <c r="F526" t="inlineStr">
        <is>
          <t>Antología mayor de la literatura española. Dirección, prólogo y notas de Guillermo Díaz-Plaja.</t>
        </is>
      </c>
      <c r="G526" t="inlineStr">
        <is>
          <t>V.2</t>
        </is>
      </c>
      <c r="H526" t="inlineStr">
        <is>
          <t>Yes</t>
        </is>
      </c>
      <c r="I526" t="inlineStr">
        <is>
          <t>1</t>
        </is>
      </c>
      <c r="J526" t="inlineStr">
        <is>
          <t>No</t>
        </is>
      </c>
      <c r="K526" t="inlineStr">
        <is>
          <t>No</t>
        </is>
      </c>
      <c r="L526" t="inlineStr">
        <is>
          <t>0</t>
        </is>
      </c>
      <c r="M526" t="inlineStr">
        <is>
          <t>Díaz-Plaja, Guillermo, 1909-1984, editor.</t>
        </is>
      </c>
      <c r="N526" t="inlineStr">
        <is>
          <t>Barcelona, Editorial Labor, 1958-61.</t>
        </is>
      </c>
      <c r="O526" t="inlineStr">
        <is>
          <t>1958</t>
        </is>
      </c>
      <c r="Q526" t="inlineStr">
        <is>
          <t>spa</t>
        </is>
      </c>
      <c r="R526" t="inlineStr">
        <is>
          <t xml:space="preserve">sp </t>
        </is>
      </c>
      <c r="S526" t="inlineStr">
        <is>
          <t>Thesaurus litterae; antologías Labor de la literatura universal. España, 1-4</t>
        </is>
      </c>
      <c r="T526" t="inlineStr">
        <is>
          <t xml:space="preserve">PQ </t>
        </is>
      </c>
      <c r="U526" t="n">
        <v>0</v>
      </c>
      <c r="V526" t="n">
        <v>1</v>
      </c>
      <c r="X526" t="inlineStr">
        <is>
          <t>2001-09-26</t>
        </is>
      </c>
      <c r="Y526" t="inlineStr">
        <is>
          <t>1997-06-26</t>
        </is>
      </c>
      <c r="Z526" t="inlineStr">
        <is>
          <t>1997-06-26</t>
        </is>
      </c>
      <c r="AA526" t="n">
        <v>299</v>
      </c>
      <c r="AB526" t="n">
        <v>271</v>
      </c>
      <c r="AC526" t="n">
        <v>344</v>
      </c>
      <c r="AD526" t="n">
        <v>5</v>
      </c>
      <c r="AE526" t="n">
        <v>6</v>
      </c>
      <c r="AF526" t="n">
        <v>18</v>
      </c>
      <c r="AG526" t="n">
        <v>20</v>
      </c>
      <c r="AH526" t="n">
        <v>5</v>
      </c>
      <c r="AI526" t="n">
        <v>5</v>
      </c>
      <c r="AJ526" t="n">
        <v>5</v>
      </c>
      <c r="AK526" t="n">
        <v>5</v>
      </c>
      <c r="AL526" t="n">
        <v>9</v>
      </c>
      <c r="AM526" t="n">
        <v>10</v>
      </c>
      <c r="AN526" t="n">
        <v>4</v>
      </c>
      <c r="AO526" t="n">
        <v>5</v>
      </c>
      <c r="AP526" t="n">
        <v>0</v>
      </c>
      <c r="AQ526" t="n">
        <v>0</v>
      </c>
      <c r="AR526" t="inlineStr">
        <is>
          <t>No</t>
        </is>
      </c>
      <c r="AS526" t="inlineStr">
        <is>
          <t>Yes</t>
        </is>
      </c>
      <c r="AT526">
        <f>HYPERLINK("http://catalog.hathitrust.org/Record/000276479","HathiTrust Record")</f>
        <v/>
      </c>
      <c r="AU526">
        <f>HYPERLINK("https://creighton-primo.hosted.exlibrisgroup.com/primo-explore/search?tab=default_tab&amp;search_scope=EVERYTHING&amp;vid=01CRU&amp;lang=en_US&amp;offset=0&amp;query=any,contains,991004070659702656","Catalog Record")</f>
        <v/>
      </c>
      <c r="AV526">
        <f>HYPERLINK("http://www.worldcat.org/oclc/2299658","WorldCat Record")</f>
        <v/>
      </c>
      <c r="AW526" t="inlineStr">
        <is>
          <t>2864992853:spa</t>
        </is>
      </c>
      <c r="AX526" t="inlineStr">
        <is>
          <t>2299658</t>
        </is>
      </c>
      <c r="AY526" t="inlineStr">
        <is>
          <t>991004070659702656</t>
        </is>
      </c>
      <c r="AZ526" t="inlineStr">
        <is>
          <t>991004070659702656</t>
        </is>
      </c>
      <c r="BA526" t="inlineStr">
        <is>
          <t>2272456590002656</t>
        </is>
      </c>
      <c r="BB526" t="inlineStr">
        <is>
          <t>BOOK</t>
        </is>
      </c>
      <c r="BE526" t="inlineStr">
        <is>
          <t>32285002517174</t>
        </is>
      </c>
      <c r="BF526" t="inlineStr">
        <is>
          <t>893235019</t>
        </is>
      </c>
    </row>
    <row r="527">
      <c r="A527" t="inlineStr">
        <is>
          <t>No</t>
        </is>
      </c>
      <c r="B527" t="inlineStr">
        <is>
          <t>CURAL</t>
        </is>
      </c>
      <c r="C527" t="inlineStr">
        <is>
          <t>SHELVES</t>
        </is>
      </c>
      <c r="D527" t="inlineStr">
        <is>
          <t>PQ6174 .D18 1968</t>
        </is>
      </c>
      <c r="E527" t="inlineStr">
        <is>
          <t>0                      PQ 6174000D  18          1968</t>
        </is>
      </c>
      <c r="F527" t="inlineStr">
        <is>
          <t>Literatura del siglo xx / [por] Ernesto G. Da Cal [y] Margarita Ucelay.</t>
        </is>
      </c>
      <c r="H527" t="inlineStr">
        <is>
          <t>No</t>
        </is>
      </c>
      <c r="I527" t="inlineStr">
        <is>
          <t>1</t>
        </is>
      </c>
      <c r="J527" t="inlineStr">
        <is>
          <t>No</t>
        </is>
      </c>
      <c r="K527" t="inlineStr">
        <is>
          <t>No</t>
        </is>
      </c>
      <c r="L527" t="inlineStr">
        <is>
          <t>0</t>
        </is>
      </c>
      <c r="M527" t="inlineStr">
        <is>
          <t>Da Cal, Ernesto Guerra, 1911-, compiler.</t>
        </is>
      </c>
      <c r="N527" t="inlineStr">
        <is>
          <t>New York : Holt, Rinehart and Winston, [1968]</t>
        </is>
      </c>
      <c r="O527" t="inlineStr">
        <is>
          <t>1968</t>
        </is>
      </c>
      <c r="P527" t="inlineStr">
        <is>
          <t>Nueva ed., revisada y aumentada.</t>
        </is>
      </c>
      <c r="Q527" t="inlineStr">
        <is>
          <t>spa</t>
        </is>
      </c>
      <c r="R527" t="inlineStr">
        <is>
          <t>nyu</t>
        </is>
      </c>
      <c r="T527" t="inlineStr">
        <is>
          <t xml:space="preserve">PQ </t>
        </is>
      </c>
      <c r="U527" t="n">
        <v>3</v>
      </c>
      <c r="V527" t="n">
        <v>3</v>
      </c>
      <c r="W527" t="inlineStr">
        <is>
          <t>1998-02-01</t>
        </is>
      </c>
      <c r="X527" t="inlineStr">
        <is>
          <t>1998-02-01</t>
        </is>
      </c>
      <c r="Y527" t="inlineStr">
        <is>
          <t>1991-05-22</t>
        </is>
      </c>
      <c r="Z527" t="inlineStr">
        <is>
          <t>1991-05-22</t>
        </is>
      </c>
      <c r="AA527" t="n">
        <v>285</v>
      </c>
      <c r="AB527" t="n">
        <v>251</v>
      </c>
      <c r="AC527" t="n">
        <v>397</v>
      </c>
      <c r="AD527" t="n">
        <v>1</v>
      </c>
      <c r="AE527" t="n">
        <v>2</v>
      </c>
      <c r="AF527" t="n">
        <v>7</v>
      </c>
      <c r="AG527" t="n">
        <v>13</v>
      </c>
      <c r="AH527" t="n">
        <v>1</v>
      </c>
      <c r="AI527" t="n">
        <v>4</v>
      </c>
      <c r="AJ527" t="n">
        <v>3</v>
      </c>
      <c r="AK527" t="n">
        <v>4</v>
      </c>
      <c r="AL527" t="n">
        <v>7</v>
      </c>
      <c r="AM527" t="n">
        <v>11</v>
      </c>
      <c r="AN527" t="n">
        <v>0</v>
      </c>
      <c r="AO527" t="n">
        <v>1</v>
      </c>
      <c r="AP527" t="n">
        <v>0</v>
      </c>
      <c r="AQ527" t="n">
        <v>0</v>
      </c>
      <c r="AR527" t="inlineStr">
        <is>
          <t>No</t>
        </is>
      </c>
      <c r="AS527" t="inlineStr">
        <is>
          <t>Yes</t>
        </is>
      </c>
      <c r="AT527">
        <f>HYPERLINK("http://catalog.hathitrust.org/Record/001048534","HathiTrust Record")</f>
        <v/>
      </c>
      <c r="AU527">
        <f>HYPERLINK("https://creighton-primo.hosted.exlibrisgroup.com/primo-explore/search?tab=default_tab&amp;search_scope=EVERYTHING&amp;vid=01CRU&amp;lang=en_US&amp;offset=0&amp;query=any,contains,991003479869702656","Catalog Record")</f>
        <v/>
      </c>
      <c r="AV527">
        <f>HYPERLINK("http://www.worldcat.org/oclc/1026678","WorldCat Record")</f>
        <v/>
      </c>
      <c r="AW527" t="inlineStr">
        <is>
          <t>1961101:spa</t>
        </is>
      </c>
      <c r="AX527" t="inlineStr">
        <is>
          <t>1026678</t>
        </is>
      </c>
      <c r="AY527" t="inlineStr">
        <is>
          <t>991003479869702656</t>
        </is>
      </c>
      <c r="AZ527" t="inlineStr">
        <is>
          <t>991003479869702656</t>
        </is>
      </c>
      <c r="BA527" t="inlineStr">
        <is>
          <t>2257070650002656</t>
        </is>
      </c>
      <c r="BB527" t="inlineStr">
        <is>
          <t>BOOK</t>
        </is>
      </c>
      <c r="BE527" t="inlineStr">
        <is>
          <t>32285000599034</t>
        </is>
      </c>
      <c r="BF527" t="inlineStr">
        <is>
          <t>893699028</t>
        </is>
      </c>
    </row>
    <row r="528">
      <c r="A528" t="inlineStr">
        <is>
          <t>No</t>
        </is>
      </c>
      <c r="B528" t="inlineStr">
        <is>
          <t>CURAL</t>
        </is>
      </c>
      <c r="C528" t="inlineStr">
        <is>
          <t>SHELVES</t>
        </is>
      </c>
      <c r="D528" t="inlineStr">
        <is>
          <t>PQ6174.A3 G65</t>
        </is>
      </c>
      <c r="E528" t="inlineStr">
        <is>
          <t>0                      PQ 6174000A  3                  G  65</t>
        </is>
      </c>
      <c r="F528" t="inlineStr">
        <is>
          <t>... Don Juan Manuel, y los cuentos medievales seleccíon y notas por María Goyri de Menéndez Pidal.</t>
        </is>
      </c>
      <c r="H528" t="inlineStr">
        <is>
          <t>No</t>
        </is>
      </c>
      <c r="I528" t="inlineStr">
        <is>
          <t>1</t>
        </is>
      </c>
      <c r="J528" t="inlineStr">
        <is>
          <t>No</t>
        </is>
      </c>
      <c r="K528" t="inlineStr">
        <is>
          <t>No</t>
        </is>
      </c>
      <c r="L528" t="inlineStr">
        <is>
          <t>0</t>
        </is>
      </c>
      <c r="M528" t="inlineStr">
        <is>
          <t>Goyri, María.</t>
        </is>
      </c>
      <c r="N528" t="inlineStr">
        <is>
          <t>Madrid, Instituto - escuela, 1936.</t>
        </is>
      </c>
      <c r="O528" t="inlineStr">
        <is>
          <t>1936</t>
        </is>
      </c>
      <c r="Q528" t="inlineStr">
        <is>
          <t>eng</t>
        </is>
      </c>
      <c r="R528" t="inlineStr">
        <is>
          <t xml:space="preserve">xx </t>
        </is>
      </c>
      <c r="S528" t="inlineStr">
        <is>
          <t>Biblioteca literaria del estudiante ... t. XXVII</t>
        </is>
      </c>
      <c r="T528" t="inlineStr">
        <is>
          <t xml:space="preserve">PQ </t>
        </is>
      </c>
      <c r="U528" t="n">
        <v>2</v>
      </c>
      <c r="V528" t="n">
        <v>2</v>
      </c>
      <c r="W528" t="inlineStr">
        <is>
          <t>2004-10-29</t>
        </is>
      </c>
      <c r="X528" t="inlineStr">
        <is>
          <t>2004-10-29</t>
        </is>
      </c>
      <c r="Y528" t="inlineStr">
        <is>
          <t>1997-06-26</t>
        </is>
      </c>
      <c r="Z528" t="inlineStr">
        <is>
          <t>1997-06-26</t>
        </is>
      </c>
      <c r="AA528" t="n">
        <v>72</v>
      </c>
      <c r="AB528" t="n">
        <v>65</v>
      </c>
      <c r="AC528" t="n">
        <v>65</v>
      </c>
      <c r="AD528" t="n">
        <v>1</v>
      </c>
      <c r="AE528" t="n">
        <v>1</v>
      </c>
      <c r="AF528" t="n">
        <v>4</v>
      </c>
      <c r="AG528" t="n">
        <v>4</v>
      </c>
      <c r="AH528" t="n">
        <v>2</v>
      </c>
      <c r="AI528" t="n">
        <v>2</v>
      </c>
      <c r="AJ528" t="n">
        <v>1</v>
      </c>
      <c r="AK528" t="n">
        <v>1</v>
      </c>
      <c r="AL528" t="n">
        <v>2</v>
      </c>
      <c r="AM528" t="n">
        <v>2</v>
      </c>
      <c r="AN528" t="n">
        <v>0</v>
      </c>
      <c r="AO528" t="n">
        <v>0</v>
      </c>
      <c r="AP528" t="n">
        <v>0</v>
      </c>
      <c r="AQ528" t="n">
        <v>0</v>
      </c>
      <c r="AR528" t="inlineStr">
        <is>
          <t>No</t>
        </is>
      </c>
      <c r="AS528" t="inlineStr">
        <is>
          <t>Yes</t>
        </is>
      </c>
      <c r="AT528">
        <f>HYPERLINK("http://catalog.hathitrust.org/Record/006138350","HathiTrust Record")</f>
        <v/>
      </c>
      <c r="AU528">
        <f>HYPERLINK("https://creighton-primo.hosted.exlibrisgroup.com/primo-explore/search?tab=default_tab&amp;search_scope=EVERYTHING&amp;vid=01CRU&amp;lang=en_US&amp;offset=0&amp;query=any,contains,991003996559702656","Catalog Record")</f>
        <v/>
      </c>
      <c r="AV528">
        <f>HYPERLINK("http://www.worldcat.org/oclc/2062811","WorldCat Record")</f>
        <v/>
      </c>
      <c r="AW528" t="inlineStr">
        <is>
          <t>1882033630:eng</t>
        </is>
      </c>
      <c r="AX528" t="inlineStr">
        <is>
          <t>2062811</t>
        </is>
      </c>
      <c r="AY528" t="inlineStr">
        <is>
          <t>991003996559702656</t>
        </is>
      </c>
      <c r="AZ528" t="inlineStr">
        <is>
          <t>991003996559702656</t>
        </is>
      </c>
      <c r="BA528" t="inlineStr">
        <is>
          <t>2259644700002656</t>
        </is>
      </c>
      <c r="BB528" t="inlineStr">
        <is>
          <t>BOOK</t>
        </is>
      </c>
      <c r="BE528" t="inlineStr">
        <is>
          <t>32285002517240</t>
        </is>
      </c>
      <c r="BF528" t="inlineStr">
        <is>
          <t>893525500</t>
        </is>
      </c>
    </row>
    <row r="529">
      <c r="A529" t="inlineStr">
        <is>
          <t>No</t>
        </is>
      </c>
      <c r="B529" t="inlineStr">
        <is>
          <t>CURAL</t>
        </is>
      </c>
      <c r="C529" t="inlineStr">
        <is>
          <t>SHELVES</t>
        </is>
      </c>
      <c r="D529" t="inlineStr">
        <is>
          <t>PQ6174.A3 M4</t>
        </is>
      </c>
      <c r="E529" t="inlineStr">
        <is>
          <t>0                      PQ 6174000A  3                  M  4</t>
        </is>
      </c>
      <c r="F529" t="inlineStr">
        <is>
          <t>Poema del Cid y otras gestas heroicas; selección, notas y mapas por Jimena Menéndez Pidal; dibujos de F. Marco.</t>
        </is>
      </c>
      <c r="H529" t="inlineStr">
        <is>
          <t>No</t>
        </is>
      </c>
      <c r="I529" t="inlineStr">
        <is>
          <t>1</t>
        </is>
      </c>
      <c r="J529" t="inlineStr">
        <is>
          <t>No</t>
        </is>
      </c>
      <c r="K529" t="inlineStr">
        <is>
          <t>No</t>
        </is>
      </c>
      <c r="L529" t="inlineStr">
        <is>
          <t>0</t>
        </is>
      </c>
      <c r="M529" t="inlineStr">
        <is>
          <t>Menéndez Pidal, Jimena, compiler.</t>
        </is>
      </c>
      <c r="N529" t="inlineStr">
        <is>
          <t>Madrid, Instituto-escuela, Junta para ampliación de estudios, 1923.</t>
        </is>
      </c>
      <c r="O529" t="inlineStr">
        <is>
          <t>1923</t>
        </is>
      </c>
      <c r="Q529" t="inlineStr">
        <is>
          <t>spa</t>
        </is>
      </c>
      <c r="R529" t="inlineStr">
        <is>
          <t xml:space="preserve">sp </t>
        </is>
      </c>
      <c r="S529" t="inlineStr">
        <is>
          <t>Biblioteca literaria del estudiante, t. XXX</t>
        </is>
      </c>
      <c r="T529" t="inlineStr">
        <is>
          <t xml:space="preserve">PQ </t>
        </is>
      </c>
      <c r="U529" t="n">
        <v>5</v>
      </c>
      <c r="V529" t="n">
        <v>5</v>
      </c>
      <c r="W529" t="inlineStr">
        <is>
          <t>2001-09-26</t>
        </is>
      </c>
      <c r="X529" t="inlineStr">
        <is>
          <t>2001-09-26</t>
        </is>
      </c>
      <c r="Y529" t="inlineStr">
        <is>
          <t>1997-07-01</t>
        </is>
      </c>
      <c r="Z529" t="inlineStr">
        <is>
          <t>1997-07-01</t>
        </is>
      </c>
      <c r="AA529" t="n">
        <v>102</v>
      </c>
      <c r="AB529" t="n">
        <v>84</v>
      </c>
      <c r="AC529" t="n">
        <v>91</v>
      </c>
      <c r="AD529" t="n">
        <v>1</v>
      </c>
      <c r="AE529" t="n">
        <v>1</v>
      </c>
      <c r="AF529" t="n">
        <v>2</v>
      </c>
      <c r="AG529" t="n">
        <v>2</v>
      </c>
      <c r="AH529" t="n">
        <v>0</v>
      </c>
      <c r="AI529" t="n">
        <v>0</v>
      </c>
      <c r="AJ529" t="n">
        <v>0</v>
      </c>
      <c r="AK529" t="n">
        <v>0</v>
      </c>
      <c r="AL529" t="n">
        <v>2</v>
      </c>
      <c r="AM529" t="n">
        <v>2</v>
      </c>
      <c r="AN529" t="n">
        <v>0</v>
      </c>
      <c r="AO529" t="n">
        <v>0</v>
      </c>
      <c r="AP529" t="n">
        <v>0</v>
      </c>
      <c r="AQ529" t="n">
        <v>0</v>
      </c>
      <c r="AR529" t="inlineStr">
        <is>
          <t>Yes</t>
        </is>
      </c>
      <c r="AS529" t="inlineStr">
        <is>
          <t>No</t>
        </is>
      </c>
      <c r="AT529">
        <f>HYPERLINK("http://catalog.hathitrust.org/Record/006543572","HathiTrust Record")</f>
        <v/>
      </c>
      <c r="AU529">
        <f>HYPERLINK("https://creighton-primo.hosted.exlibrisgroup.com/primo-explore/search?tab=default_tab&amp;search_scope=EVERYTHING&amp;vid=01CRU&amp;lang=en_US&amp;offset=0&amp;query=any,contains,991004379339702656","Catalog Record")</f>
        <v/>
      </c>
      <c r="AV529">
        <f>HYPERLINK("http://www.worldcat.org/oclc/3212968","WorldCat Record")</f>
        <v/>
      </c>
      <c r="AW529" t="inlineStr">
        <is>
          <t>1150923538:spa</t>
        </is>
      </c>
      <c r="AX529" t="inlineStr">
        <is>
          <t>3212968</t>
        </is>
      </c>
      <c r="AY529" t="inlineStr">
        <is>
          <t>991004379339702656</t>
        </is>
      </c>
      <c r="AZ529" t="inlineStr">
        <is>
          <t>991004379339702656</t>
        </is>
      </c>
      <c r="BA529" t="inlineStr">
        <is>
          <t>2256340660002656</t>
        </is>
      </c>
      <c r="BB529" t="inlineStr">
        <is>
          <t>BOOK</t>
        </is>
      </c>
      <c r="BE529" t="inlineStr">
        <is>
          <t>32285002517265</t>
        </is>
      </c>
      <c r="BF529" t="inlineStr">
        <is>
          <t>893411451</t>
        </is>
      </c>
    </row>
    <row r="530">
      <c r="A530" t="inlineStr">
        <is>
          <t>No</t>
        </is>
      </c>
      <c r="B530" t="inlineStr">
        <is>
          <t>CURAL</t>
        </is>
      </c>
      <c r="C530" t="inlineStr">
        <is>
          <t>SHELVES</t>
        </is>
      </c>
      <c r="D530" t="inlineStr">
        <is>
          <t>PQ6174.A5 S36</t>
        </is>
      </c>
      <c r="E530" t="inlineStr">
        <is>
          <t>0                      PQ 6174000A  5                  S  36</t>
        </is>
      </c>
      <c r="F530" t="inlineStr">
        <is>
          <t>Les danses macabres de France et d'Espagne et leurs prolongements littéraires.</t>
        </is>
      </c>
      <c r="H530" t="inlineStr">
        <is>
          <t>No</t>
        </is>
      </c>
      <c r="I530" t="inlineStr">
        <is>
          <t>1</t>
        </is>
      </c>
      <c r="J530" t="inlineStr">
        <is>
          <t>No</t>
        </is>
      </c>
      <c r="K530" t="inlineStr">
        <is>
          <t>No</t>
        </is>
      </c>
      <c r="L530" t="inlineStr">
        <is>
          <t>0</t>
        </is>
      </c>
      <c r="M530" t="inlineStr">
        <is>
          <t>Saugnieux, Joël, compiler.</t>
        </is>
      </c>
      <c r="N530" t="inlineStr">
        <is>
          <t>Lyon : E. Vitte, [1972]</t>
        </is>
      </c>
      <c r="O530" t="inlineStr">
        <is>
          <t>1972</t>
        </is>
      </c>
      <c r="Q530" t="inlineStr">
        <is>
          <t>fre</t>
        </is>
      </c>
      <c r="R530" t="inlineStr">
        <is>
          <t xml:space="preserve">fr </t>
        </is>
      </c>
      <c r="S530" t="inlineStr">
        <is>
          <t>Bibliothèque de la Faculté des lettres de Lyon ; fasc. 30</t>
        </is>
      </c>
      <c r="T530" t="inlineStr">
        <is>
          <t xml:space="preserve">PQ </t>
        </is>
      </c>
      <c r="U530" t="n">
        <v>1</v>
      </c>
      <c r="V530" t="n">
        <v>1</v>
      </c>
      <c r="W530" t="inlineStr">
        <is>
          <t>1993-02-16</t>
        </is>
      </c>
      <c r="X530" t="inlineStr">
        <is>
          <t>1993-02-16</t>
        </is>
      </c>
      <c r="Y530" t="inlineStr">
        <is>
          <t>1991-02-14</t>
        </is>
      </c>
      <c r="Z530" t="inlineStr">
        <is>
          <t>1991-02-14</t>
        </is>
      </c>
      <c r="AA530" t="n">
        <v>140</v>
      </c>
      <c r="AB530" t="n">
        <v>93</v>
      </c>
      <c r="AC530" t="n">
        <v>95</v>
      </c>
      <c r="AD530" t="n">
        <v>1</v>
      </c>
      <c r="AE530" t="n">
        <v>1</v>
      </c>
      <c r="AF530" t="n">
        <v>6</v>
      </c>
      <c r="AG530" t="n">
        <v>6</v>
      </c>
      <c r="AH530" t="n">
        <v>0</v>
      </c>
      <c r="AI530" t="n">
        <v>0</v>
      </c>
      <c r="AJ530" t="n">
        <v>3</v>
      </c>
      <c r="AK530" t="n">
        <v>3</v>
      </c>
      <c r="AL530" t="n">
        <v>4</v>
      </c>
      <c r="AM530" t="n">
        <v>4</v>
      </c>
      <c r="AN530" t="n">
        <v>0</v>
      </c>
      <c r="AO530" t="n">
        <v>0</v>
      </c>
      <c r="AP530" t="n">
        <v>0</v>
      </c>
      <c r="AQ530" t="n">
        <v>0</v>
      </c>
      <c r="AR530" t="inlineStr">
        <is>
          <t>No</t>
        </is>
      </c>
      <c r="AS530" t="inlineStr">
        <is>
          <t>Yes</t>
        </is>
      </c>
      <c r="AT530">
        <f>HYPERLINK("http://catalog.hathitrust.org/Record/001048134","HathiTrust Record")</f>
        <v/>
      </c>
      <c r="AU530">
        <f>HYPERLINK("https://creighton-primo.hosted.exlibrisgroup.com/primo-explore/search?tab=default_tab&amp;search_scope=EVERYTHING&amp;vid=01CRU&amp;lang=en_US&amp;offset=0&amp;query=any,contains,991002955049702656","Catalog Record")</f>
        <v/>
      </c>
      <c r="AV530">
        <f>HYPERLINK("http://www.worldcat.org/oclc/541632","WorldCat Record")</f>
        <v/>
      </c>
      <c r="AW530" t="inlineStr">
        <is>
          <t>422867467:fre</t>
        </is>
      </c>
      <c r="AX530" t="inlineStr">
        <is>
          <t>541632</t>
        </is>
      </c>
      <c r="AY530" t="inlineStr">
        <is>
          <t>991002955049702656</t>
        </is>
      </c>
      <c r="AZ530" t="inlineStr">
        <is>
          <t>991002955049702656</t>
        </is>
      </c>
      <c r="BA530" t="inlineStr">
        <is>
          <t>2268555330002656</t>
        </is>
      </c>
      <c r="BB530" t="inlineStr">
        <is>
          <t>BOOK</t>
        </is>
      </c>
      <c r="BE530" t="inlineStr">
        <is>
          <t>32285000510627</t>
        </is>
      </c>
      <c r="BF530" t="inlineStr">
        <is>
          <t>893622949</t>
        </is>
      </c>
    </row>
    <row r="531">
      <c r="A531" t="inlineStr">
        <is>
          <t>No</t>
        </is>
      </c>
      <c r="B531" t="inlineStr">
        <is>
          <t>CURAL</t>
        </is>
      </c>
      <c r="C531" t="inlineStr">
        <is>
          <t>SHELVES</t>
        </is>
      </c>
      <c r="D531" t="inlineStr">
        <is>
          <t>PQ6175 .O24 2001</t>
        </is>
      </c>
      <c r="E531" t="inlineStr">
        <is>
          <t>0                      PQ 6175000O  24          2001</t>
        </is>
      </c>
      <c r="F531" t="inlineStr">
        <is>
          <t>Ocho siglos de poesía en lengua castellana / Francisco Montes de Oca [compilador].</t>
        </is>
      </c>
      <c r="H531" t="inlineStr">
        <is>
          <t>No</t>
        </is>
      </c>
      <c r="I531" t="inlineStr">
        <is>
          <t>1</t>
        </is>
      </c>
      <c r="J531" t="inlineStr">
        <is>
          <t>No</t>
        </is>
      </c>
      <c r="K531" t="inlineStr">
        <is>
          <t>No</t>
        </is>
      </c>
      <c r="L531" t="inlineStr">
        <is>
          <t>0</t>
        </is>
      </c>
      <c r="N531" t="inlineStr">
        <is>
          <t>México : Editorial Porrúa, 2001.</t>
        </is>
      </c>
      <c r="O531" t="inlineStr">
        <is>
          <t>2001</t>
        </is>
      </c>
      <c r="P531" t="inlineStr">
        <is>
          <t>1. ed. especial.</t>
        </is>
      </c>
      <c r="Q531" t="inlineStr">
        <is>
          <t>spa</t>
        </is>
      </c>
      <c r="R531" t="inlineStr">
        <is>
          <t xml:space="preserve">mx </t>
        </is>
      </c>
      <c r="T531" t="inlineStr">
        <is>
          <t xml:space="preserve">PQ </t>
        </is>
      </c>
      <c r="U531" t="n">
        <v>1</v>
      </c>
      <c r="V531" t="n">
        <v>1</v>
      </c>
      <c r="W531" t="inlineStr">
        <is>
          <t>2003-06-18</t>
        </is>
      </c>
      <c r="X531" t="inlineStr">
        <is>
          <t>2003-06-18</t>
        </is>
      </c>
      <c r="Y531" t="inlineStr">
        <is>
          <t>2003-06-17</t>
        </is>
      </c>
      <c r="Z531" t="inlineStr">
        <is>
          <t>2003-06-17</t>
        </is>
      </c>
      <c r="AA531" t="n">
        <v>6</v>
      </c>
      <c r="AB531" t="n">
        <v>5</v>
      </c>
      <c r="AC531" t="n">
        <v>20</v>
      </c>
      <c r="AD531" t="n">
        <v>1</v>
      </c>
      <c r="AE531" t="n">
        <v>1</v>
      </c>
      <c r="AF531" t="n">
        <v>0</v>
      </c>
      <c r="AG531" t="n">
        <v>0</v>
      </c>
      <c r="AH531" t="n">
        <v>0</v>
      </c>
      <c r="AI531" t="n">
        <v>0</v>
      </c>
      <c r="AJ531" t="n">
        <v>0</v>
      </c>
      <c r="AK531" t="n">
        <v>0</v>
      </c>
      <c r="AL531" t="n">
        <v>0</v>
      </c>
      <c r="AM531" t="n">
        <v>0</v>
      </c>
      <c r="AN531" t="n">
        <v>0</v>
      </c>
      <c r="AO531" t="n">
        <v>0</v>
      </c>
      <c r="AP531" t="n">
        <v>0</v>
      </c>
      <c r="AQ531" t="n">
        <v>0</v>
      </c>
      <c r="AR531" t="inlineStr">
        <is>
          <t>No</t>
        </is>
      </c>
      <c r="AS531" t="inlineStr">
        <is>
          <t>No</t>
        </is>
      </c>
      <c r="AU531">
        <f>HYPERLINK("https://creighton-primo.hosted.exlibrisgroup.com/primo-explore/search?tab=default_tab&amp;search_scope=EVERYTHING&amp;vid=01CRU&amp;lang=en_US&amp;offset=0&amp;query=any,contains,991004079589702656","Catalog Record")</f>
        <v/>
      </c>
      <c r="AV531">
        <f>HYPERLINK("http://www.worldcat.org/oclc/52099201","WorldCat Record")</f>
        <v/>
      </c>
      <c r="AW531" t="inlineStr">
        <is>
          <t>2864719797:spa</t>
        </is>
      </c>
      <c r="AX531" t="inlineStr">
        <is>
          <t>52099201</t>
        </is>
      </c>
      <c r="AY531" t="inlineStr">
        <is>
          <t>991004079589702656</t>
        </is>
      </c>
      <c r="AZ531" t="inlineStr">
        <is>
          <t>991004079589702656</t>
        </is>
      </c>
      <c r="BA531" t="inlineStr">
        <is>
          <t>2258153140002656</t>
        </is>
      </c>
      <c r="BB531" t="inlineStr">
        <is>
          <t>BOOK</t>
        </is>
      </c>
      <c r="BD531" t="inlineStr">
        <is>
          <t>9789700729855</t>
        </is>
      </c>
      <c r="BE531" t="inlineStr">
        <is>
          <t>32285004771662</t>
        </is>
      </c>
      <c r="BF531" t="inlineStr">
        <is>
          <t>893593247</t>
        </is>
      </c>
    </row>
    <row r="532">
      <c r="A532" t="inlineStr">
        <is>
          <t>No</t>
        </is>
      </c>
      <c r="B532" t="inlineStr">
        <is>
          <t>CURAL</t>
        </is>
      </c>
      <c r="C532" t="inlineStr">
        <is>
          <t>SHELVES</t>
        </is>
      </c>
      <c r="D532" t="inlineStr">
        <is>
          <t>PQ6176 .A527 1986, v...</t>
        </is>
      </c>
      <c r="E532" t="inlineStr">
        <is>
          <t>0                      PQ 6176000A  527         1986                                        v...</t>
        </is>
      </c>
      <c r="F532" t="inlineStr">
        <is>
          <t>Antología de la poesía española e hispanoamericana / José María Valverde y Dámaso Santos.</t>
        </is>
      </c>
      <c r="G532" t="inlineStr">
        <is>
          <t>V. 1</t>
        </is>
      </c>
      <c r="H532" t="inlineStr">
        <is>
          <t>Yes</t>
        </is>
      </c>
      <c r="I532" t="inlineStr">
        <is>
          <t>1</t>
        </is>
      </c>
      <c r="J532" t="inlineStr">
        <is>
          <t>No</t>
        </is>
      </c>
      <c r="K532" t="inlineStr">
        <is>
          <t>No</t>
        </is>
      </c>
      <c r="L532" t="inlineStr">
        <is>
          <t>0</t>
        </is>
      </c>
      <c r="N532" t="inlineStr">
        <is>
          <t>Barcelona : Anthropos, c1986-</t>
        </is>
      </c>
      <c r="O532" t="inlineStr">
        <is>
          <t>1986</t>
        </is>
      </c>
      <c r="P532" t="inlineStr">
        <is>
          <t>1a ed.</t>
        </is>
      </c>
      <c r="Q532" t="inlineStr">
        <is>
          <t>spa</t>
        </is>
      </c>
      <c r="R532" t="inlineStr">
        <is>
          <t xml:space="preserve">bl </t>
        </is>
      </c>
      <c r="S532" t="inlineStr">
        <is>
          <t>Ambitos literarios/Poesía ; 85, 89-</t>
        </is>
      </c>
      <c r="T532" t="inlineStr">
        <is>
          <t xml:space="preserve">PQ </t>
        </is>
      </c>
      <c r="U532" t="n">
        <v>4</v>
      </c>
      <c r="V532" t="n">
        <v>11</v>
      </c>
      <c r="W532" t="inlineStr">
        <is>
          <t>1995-03-04</t>
        </is>
      </c>
      <c r="X532" t="inlineStr">
        <is>
          <t>1998-02-01</t>
        </is>
      </c>
      <c r="Y532" t="inlineStr">
        <is>
          <t>1992-01-16</t>
        </is>
      </c>
      <c r="Z532" t="inlineStr">
        <is>
          <t>1992-01-16</t>
        </is>
      </c>
      <c r="AA532" t="n">
        <v>95</v>
      </c>
      <c r="AB532" t="n">
        <v>75</v>
      </c>
      <c r="AC532" t="n">
        <v>75</v>
      </c>
      <c r="AD532" t="n">
        <v>2</v>
      </c>
      <c r="AE532" t="n">
        <v>2</v>
      </c>
      <c r="AF532" t="n">
        <v>3</v>
      </c>
      <c r="AG532" t="n">
        <v>3</v>
      </c>
      <c r="AH532" t="n">
        <v>1</v>
      </c>
      <c r="AI532" t="n">
        <v>1</v>
      </c>
      <c r="AJ532" t="n">
        <v>1</v>
      </c>
      <c r="AK532" t="n">
        <v>1</v>
      </c>
      <c r="AL532" t="n">
        <v>1</v>
      </c>
      <c r="AM532" t="n">
        <v>1</v>
      </c>
      <c r="AN532" t="n">
        <v>1</v>
      </c>
      <c r="AO532" t="n">
        <v>1</v>
      </c>
      <c r="AP532" t="n">
        <v>0</v>
      </c>
      <c r="AQ532" t="n">
        <v>0</v>
      </c>
      <c r="AR532" t="inlineStr">
        <is>
          <t>No</t>
        </is>
      </c>
      <c r="AS532" t="inlineStr">
        <is>
          <t>No</t>
        </is>
      </c>
      <c r="AU532">
        <f>HYPERLINK("https://creighton-primo.hosted.exlibrisgroup.com/primo-explore/search?tab=default_tab&amp;search_scope=EVERYTHING&amp;vid=01CRU&amp;lang=en_US&amp;offset=0&amp;query=any,contains,991000904839702656","Catalog Record")</f>
        <v/>
      </c>
      <c r="AV532">
        <f>HYPERLINK("http://www.worldcat.org/oclc/14089655","WorldCat Record")</f>
        <v/>
      </c>
      <c r="AW532" t="inlineStr">
        <is>
          <t>3374512439:spa</t>
        </is>
      </c>
      <c r="AX532" t="inlineStr">
        <is>
          <t>14089655</t>
        </is>
      </c>
      <c r="AY532" t="inlineStr">
        <is>
          <t>991000904839702656</t>
        </is>
      </c>
      <c r="AZ532" t="inlineStr">
        <is>
          <t>991000904839702656</t>
        </is>
      </c>
      <c r="BA532" t="inlineStr">
        <is>
          <t>2261349290002656</t>
        </is>
      </c>
      <c r="BB532" t="inlineStr">
        <is>
          <t>BOOK</t>
        </is>
      </c>
      <c r="BD532" t="inlineStr">
        <is>
          <t>9788476580004</t>
        </is>
      </c>
      <c r="BE532" t="inlineStr">
        <is>
          <t>32285000864123</t>
        </is>
      </c>
      <c r="BF532" t="inlineStr">
        <is>
          <t>893496656</t>
        </is>
      </c>
    </row>
    <row r="533">
      <c r="A533" t="inlineStr">
        <is>
          <t>No</t>
        </is>
      </c>
      <c r="B533" t="inlineStr">
        <is>
          <t>CURAL</t>
        </is>
      </c>
      <c r="C533" t="inlineStr">
        <is>
          <t>SHELVES</t>
        </is>
      </c>
      <c r="D533" t="inlineStr">
        <is>
          <t>PQ6176 .A527 1986, v...</t>
        </is>
      </c>
      <c r="E533" t="inlineStr">
        <is>
          <t>0                      PQ 6176000A  527         1986                                        v...</t>
        </is>
      </c>
      <c r="F533" t="inlineStr">
        <is>
          <t>Antología de la poesía española e hispanoamericana / José María Valverde y Dámaso Santos.</t>
        </is>
      </c>
      <c r="G533" t="inlineStr">
        <is>
          <t>V. 2</t>
        </is>
      </c>
      <c r="H533" t="inlineStr">
        <is>
          <t>Yes</t>
        </is>
      </c>
      <c r="I533" t="inlineStr">
        <is>
          <t>1</t>
        </is>
      </c>
      <c r="J533" t="inlineStr">
        <is>
          <t>No</t>
        </is>
      </c>
      <c r="K533" t="inlineStr">
        <is>
          <t>No</t>
        </is>
      </c>
      <c r="L533" t="inlineStr">
        <is>
          <t>0</t>
        </is>
      </c>
      <c r="N533" t="inlineStr">
        <is>
          <t>Barcelona : Anthropos, c1986-</t>
        </is>
      </c>
      <c r="O533" t="inlineStr">
        <is>
          <t>1986</t>
        </is>
      </c>
      <c r="P533" t="inlineStr">
        <is>
          <t>1a ed.</t>
        </is>
      </c>
      <c r="Q533" t="inlineStr">
        <is>
          <t>spa</t>
        </is>
      </c>
      <c r="R533" t="inlineStr">
        <is>
          <t xml:space="preserve">bl </t>
        </is>
      </c>
      <c r="S533" t="inlineStr">
        <is>
          <t>Ambitos literarios/Poesía ; 85, 89-</t>
        </is>
      </c>
      <c r="T533" t="inlineStr">
        <is>
          <t xml:space="preserve">PQ </t>
        </is>
      </c>
      <c r="U533" t="n">
        <v>7</v>
      </c>
      <c r="V533" t="n">
        <v>11</v>
      </c>
      <c r="W533" t="inlineStr">
        <is>
          <t>1998-02-01</t>
        </is>
      </c>
      <c r="X533" t="inlineStr">
        <is>
          <t>1998-02-01</t>
        </is>
      </c>
      <c r="Y533" t="inlineStr">
        <is>
          <t>1992-01-16</t>
        </is>
      </c>
      <c r="Z533" t="inlineStr">
        <is>
          <t>1992-01-16</t>
        </is>
      </c>
      <c r="AA533" t="n">
        <v>95</v>
      </c>
      <c r="AB533" t="n">
        <v>75</v>
      </c>
      <c r="AC533" t="n">
        <v>75</v>
      </c>
      <c r="AD533" t="n">
        <v>2</v>
      </c>
      <c r="AE533" t="n">
        <v>2</v>
      </c>
      <c r="AF533" t="n">
        <v>3</v>
      </c>
      <c r="AG533" t="n">
        <v>3</v>
      </c>
      <c r="AH533" t="n">
        <v>1</v>
      </c>
      <c r="AI533" t="n">
        <v>1</v>
      </c>
      <c r="AJ533" t="n">
        <v>1</v>
      </c>
      <c r="AK533" t="n">
        <v>1</v>
      </c>
      <c r="AL533" t="n">
        <v>1</v>
      </c>
      <c r="AM533" t="n">
        <v>1</v>
      </c>
      <c r="AN533" t="n">
        <v>1</v>
      </c>
      <c r="AO533" t="n">
        <v>1</v>
      </c>
      <c r="AP533" t="n">
        <v>0</v>
      </c>
      <c r="AQ533" t="n">
        <v>0</v>
      </c>
      <c r="AR533" t="inlineStr">
        <is>
          <t>No</t>
        </is>
      </c>
      <c r="AS533" t="inlineStr">
        <is>
          <t>No</t>
        </is>
      </c>
      <c r="AU533">
        <f>HYPERLINK("https://creighton-primo.hosted.exlibrisgroup.com/primo-explore/search?tab=default_tab&amp;search_scope=EVERYTHING&amp;vid=01CRU&amp;lang=en_US&amp;offset=0&amp;query=any,contains,991000904839702656","Catalog Record")</f>
        <v/>
      </c>
      <c r="AV533">
        <f>HYPERLINK("http://www.worldcat.org/oclc/14089655","WorldCat Record")</f>
        <v/>
      </c>
      <c r="AW533" t="inlineStr">
        <is>
          <t>3374512439:spa</t>
        </is>
      </c>
      <c r="AX533" t="inlineStr">
        <is>
          <t>14089655</t>
        </is>
      </c>
      <c r="AY533" t="inlineStr">
        <is>
          <t>991000904839702656</t>
        </is>
      </c>
      <c r="AZ533" t="inlineStr">
        <is>
          <t>991000904839702656</t>
        </is>
      </c>
      <c r="BA533" t="inlineStr">
        <is>
          <t>2261349290002656</t>
        </is>
      </c>
      <c r="BB533" t="inlineStr">
        <is>
          <t>BOOK</t>
        </is>
      </c>
      <c r="BD533" t="inlineStr">
        <is>
          <t>9788476580004</t>
        </is>
      </c>
      <c r="BE533" t="inlineStr">
        <is>
          <t>32285000864131</t>
        </is>
      </c>
      <c r="BF533" t="inlineStr">
        <is>
          <t>893496655</t>
        </is>
      </c>
    </row>
    <row r="534">
      <c r="A534" t="inlineStr">
        <is>
          <t>No</t>
        </is>
      </c>
      <c r="B534" t="inlineStr">
        <is>
          <t>CURAL</t>
        </is>
      </c>
      <c r="C534" t="inlineStr">
        <is>
          <t>SHELVES</t>
        </is>
      </c>
      <c r="D534" t="inlineStr">
        <is>
          <t>PQ6176 .B4 1995</t>
        </is>
      </c>
      <c r="E534" t="inlineStr">
        <is>
          <t>0                      PQ 6176000B  4           1995</t>
        </is>
      </c>
      <c r="F534" t="inlineStr">
        <is>
          <t>Las mil mejores poesías de la lengua castellana : ocho siglos de poesía española e hispanoamericana / José Bergua [compilador].</t>
        </is>
      </c>
      <c r="H534" t="inlineStr">
        <is>
          <t>No</t>
        </is>
      </c>
      <c r="I534" t="inlineStr">
        <is>
          <t>1</t>
        </is>
      </c>
      <c r="J534" t="inlineStr">
        <is>
          <t>No</t>
        </is>
      </c>
      <c r="K534" t="inlineStr">
        <is>
          <t>No</t>
        </is>
      </c>
      <c r="L534" t="inlineStr">
        <is>
          <t>0</t>
        </is>
      </c>
      <c r="N534" t="inlineStr">
        <is>
          <t>Madrid : Claasicos Bergua, c1995.</t>
        </is>
      </c>
      <c r="O534" t="inlineStr">
        <is>
          <t>1995</t>
        </is>
      </c>
      <c r="P534" t="inlineStr">
        <is>
          <t>31. ed.</t>
        </is>
      </c>
      <c r="Q534" t="inlineStr">
        <is>
          <t>spa</t>
        </is>
      </c>
      <c r="R534" t="inlineStr">
        <is>
          <t xml:space="preserve">sp </t>
        </is>
      </c>
      <c r="S534" t="inlineStr">
        <is>
          <t>Colección "Tesoro literario" ; núm. 26</t>
        </is>
      </c>
      <c r="T534" t="inlineStr">
        <is>
          <t xml:space="preserve">PQ </t>
        </is>
      </c>
      <c r="U534" t="n">
        <v>2</v>
      </c>
      <c r="V534" t="n">
        <v>2</v>
      </c>
      <c r="W534" t="inlineStr">
        <is>
          <t>2001-05-16</t>
        </is>
      </c>
      <c r="X534" t="inlineStr">
        <is>
          <t>2001-05-16</t>
        </is>
      </c>
      <c r="Y534" t="inlineStr">
        <is>
          <t>2001-04-10</t>
        </is>
      </c>
      <c r="Z534" t="inlineStr">
        <is>
          <t>2001-04-10</t>
        </is>
      </c>
      <c r="AA534" t="n">
        <v>4</v>
      </c>
      <c r="AB534" t="n">
        <v>4</v>
      </c>
      <c r="AC534" t="n">
        <v>163</v>
      </c>
      <c r="AD534" t="n">
        <v>1</v>
      </c>
      <c r="AE534" t="n">
        <v>3</v>
      </c>
      <c r="AF534" t="n">
        <v>0</v>
      </c>
      <c r="AG534" t="n">
        <v>7</v>
      </c>
      <c r="AH534" t="n">
        <v>0</v>
      </c>
      <c r="AI534" t="n">
        <v>2</v>
      </c>
      <c r="AJ534" t="n">
        <v>0</v>
      </c>
      <c r="AK534" t="n">
        <v>2</v>
      </c>
      <c r="AL534" t="n">
        <v>0</v>
      </c>
      <c r="AM534" t="n">
        <v>3</v>
      </c>
      <c r="AN534" t="n">
        <v>0</v>
      </c>
      <c r="AO534" t="n">
        <v>2</v>
      </c>
      <c r="AP534" t="n">
        <v>0</v>
      </c>
      <c r="AQ534" t="n">
        <v>0</v>
      </c>
      <c r="AR534" t="inlineStr">
        <is>
          <t>No</t>
        </is>
      </c>
      <c r="AS534" t="inlineStr">
        <is>
          <t>No</t>
        </is>
      </c>
      <c r="AU534">
        <f>HYPERLINK("https://creighton-primo.hosted.exlibrisgroup.com/primo-explore/search?tab=default_tab&amp;search_scope=EVERYTHING&amp;vid=01CRU&amp;lang=en_US&amp;offset=0&amp;query=any,contains,991003484009702656","Catalog Record")</f>
        <v/>
      </c>
      <c r="AV534">
        <f>HYPERLINK("http://www.worldcat.org/oclc/42806762","WorldCat Record")</f>
        <v/>
      </c>
      <c r="AW534" t="inlineStr">
        <is>
          <t>3943485713:spa</t>
        </is>
      </c>
      <c r="AX534" t="inlineStr">
        <is>
          <t>42806762</t>
        </is>
      </c>
      <c r="AY534" t="inlineStr">
        <is>
          <t>991003484009702656</t>
        </is>
      </c>
      <c r="AZ534" t="inlineStr">
        <is>
          <t>991003484009702656</t>
        </is>
      </c>
      <c r="BA534" t="inlineStr">
        <is>
          <t>2257954040002656</t>
        </is>
      </c>
      <c r="BB534" t="inlineStr">
        <is>
          <t>BOOK</t>
        </is>
      </c>
      <c r="BE534" t="inlineStr">
        <is>
          <t>32285004311634</t>
        </is>
      </c>
      <c r="BF534" t="inlineStr">
        <is>
          <t>893717700</t>
        </is>
      </c>
    </row>
    <row r="535">
      <c r="A535" t="inlineStr">
        <is>
          <t>No</t>
        </is>
      </c>
      <c r="B535" t="inlineStr">
        <is>
          <t>CURAL</t>
        </is>
      </c>
      <c r="C535" t="inlineStr">
        <is>
          <t>SHELVES</t>
        </is>
      </c>
      <c r="D535" t="inlineStr">
        <is>
          <t>PQ6176 .C48 1984</t>
        </is>
      </c>
      <c r="E535" t="inlineStr">
        <is>
          <t>0                      PQ 6176000C  48          1984</t>
        </is>
      </c>
      <c r="F535" t="inlineStr">
        <is>
          <t>Las Cien mejores poesías líricas de la lengua castellana / selección y advertencia preliminar de Marcelino Menéndez y Pelayo.</t>
        </is>
      </c>
      <c r="H535" t="inlineStr">
        <is>
          <t>No</t>
        </is>
      </c>
      <c r="I535" t="inlineStr">
        <is>
          <t>1</t>
        </is>
      </c>
      <c r="J535" t="inlineStr">
        <is>
          <t>No</t>
        </is>
      </c>
      <c r="K535" t="inlineStr">
        <is>
          <t>No</t>
        </is>
      </c>
      <c r="L535" t="inlineStr">
        <is>
          <t>0</t>
        </is>
      </c>
      <c r="N535" t="inlineStr">
        <is>
          <t>Mexico : Porrua, c1984.</t>
        </is>
      </c>
      <c r="O535" t="inlineStr">
        <is>
          <t>1984</t>
        </is>
      </c>
      <c r="P535" t="inlineStr">
        <is>
          <t>5a ed.</t>
        </is>
      </c>
      <c r="Q535" t="inlineStr">
        <is>
          <t>spa</t>
        </is>
      </c>
      <c r="R535" t="inlineStr">
        <is>
          <t xml:space="preserve">mx </t>
        </is>
      </c>
      <c r="S535" t="inlineStr">
        <is>
          <t>"Sepan cuantos--" ; no. 137</t>
        </is>
      </c>
      <c r="T535" t="inlineStr">
        <is>
          <t xml:space="preserve">PQ </t>
        </is>
      </c>
      <c r="U535" t="n">
        <v>2</v>
      </c>
      <c r="V535" t="n">
        <v>2</v>
      </c>
      <c r="W535" t="inlineStr">
        <is>
          <t>2001-05-16</t>
        </is>
      </c>
      <c r="X535" t="inlineStr">
        <is>
          <t>2001-05-16</t>
        </is>
      </c>
      <c r="Y535" t="inlineStr">
        <is>
          <t>2001-03-26</t>
        </is>
      </c>
      <c r="Z535" t="inlineStr">
        <is>
          <t>2001-03-26</t>
        </is>
      </c>
      <c r="AA535" t="n">
        <v>7</v>
      </c>
      <c r="AB535" t="n">
        <v>6</v>
      </c>
      <c r="AC535" t="n">
        <v>447</v>
      </c>
      <c r="AD535" t="n">
        <v>1</v>
      </c>
      <c r="AE535" t="n">
        <v>4</v>
      </c>
      <c r="AF535" t="n">
        <v>0</v>
      </c>
      <c r="AG535" t="n">
        <v>20</v>
      </c>
      <c r="AH535" t="n">
        <v>0</v>
      </c>
      <c r="AI535" t="n">
        <v>9</v>
      </c>
      <c r="AJ535" t="n">
        <v>0</v>
      </c>
      <c r="AK535" t="n">
        <v>2</v>
      </c>
      <c r="AL535" t="n">
        <v>0</v>
      </c>
      <c r="AM535" t="n">
        <v>11</v>
      </c>
      <c r="AN535" t="n">
        <v>0</v>
      </c>
      <c r="AO535" t="n">
        <v>3</v>
      </c>
      <c r="AP535" t="n">
        <v>0</v>
      </c>
      <c r="AQ535" t="n">
        <v>0</v>
      </c>
      <c r="AR535" t="inlineStr">
        <is>
          <t>No</t>
        </is>
      </c>
      <c r="AS535" t="inlineStr">
        <is>
          <t>No</t>
        </is>
      </c>
      <c r="AU535">
        <f>HYPERLINK("https://creighton-primo.hosted.exlibrisgroup.com/primo-explore/search?tab=default_tab&amp;search_scope=EVERYTHING&amp;vid=01CRU&amp;lang=en_US&amp;offset=0&amp;query=any,contains,991003521259702656","Catalog Record")</f>
        <v/>
      </c>
      <c r="AV535">
        <f>HYPERLINK("http://www.worldcat.org/oclc/21729307","WorldCat Record")</f>
        <v/>
      </c>
      <c r="AW535" t="inlineStr">
        <is>
          <t>343972621:spa</t>
        </is>
      </c>
      <c r="AX535" t="inlineStr">
        <is>
          <t>21729307</t>
        </is>
      </c>
      <c r="AY535" t="inlineStr">
        <is>
          <t>991003521259702656</t>
        </is>
      </c>
      <c r="AZ535" t="inlineStr">
        <is>
          <t>991003521259702656</t>
        </is>
      </c>
      <c r="BA535" t="inlineStr">
        <is>
          <t>2255509620002656</t>
        </is>
      </c>
      <c r="BB535" t="inlineStr">
        <is>
          <t>BOOK</t>
        </is>
      </c>
      <c r="BD535" t="inlineStr">
        <is>
          <t>9789684325111</t>
        </is>
      </c>
      <c r="BE535" t="inlineStr">
        <is>
          <t>32285004307350</t>
        </is>
      </c>
      <c r="BF535" t="inlineStr">
        <is>
          <t>893246437</t>
        </is>
      </c>
    </row>
    <row r="536">
      <c r="A536" t="inlineStr">
        <is>
          <t>No</t>
        </is>
      </c>
      <c r="B536" t="inlineStr">
        <is>
          <t>CURAL</t>
        </is>
      </c>
      <c r="C536" t="inlineStr">
        <is>
          <t>SHELVES</t>
        </is>
      </c>
      <c r="D536" t="inlineStr">
        <is>
          <t>PQ6176 .T46 1995</t>
        </is>
      </c>
      <c r="E536" t="inlineStr">
        <is>
          <t>0                      PQ 6176000T  46          1995</t>
        </is>
      </c>
      <c r="F536" t="inlineStr">
        <is>
          <t>Tesoros de la poesía en lengua castellana / prólogo de Rafael Alberti ; selección de Regino García-Badell.</t>
        </is>
      </c>
      <c r="H536" t="inlineStr">
        <is>
          <t>No</t>
        </is>
      </c>
      <c r="I536" t="inlineStr">
        <is>
          <t>1</t>
        </is>
      </c>
      <c r="J536" t="inlineStr">
        <is>
          <t>No</t>
        </is>
      </c>
      <c r="K536" t="inlineStr">
        <is>
          <t>No</t>
        </is>
      </c>
      <c r="L536" t="inlineStr">
        <is>
          <t>0</t>
        </is>
      </c>
      <c r="N536" t="inlineStr">
        <is>
          <t>[Madrid] : Ediciones del Prado, 1995.</t>
        </is>
      </c>
      <c r="O536" t="inlineStr">
        <is>
          <t>1995</t>
        </is>
      </c>
      <c r="Q536" t="inlineStr">
        <is>
          <t>spa</t>
        </is>
      </c>
      <c r="R536" t="inlineStr">
        <is>
          <t xml:space="preserve">sp </t>
        </is>
      </c>
      <c r="S536" t="inlineStr">
        <is>
          <t>Palabras mayores</t>
        </is>
      </c>
      <c r="T536" t="inlineStr">
        <is>
          <t xml:space="preserve">PQ </t>
        </is>
      </c>
      <c r="U536" t="n">
        <v>3</v>
      </c>
      <c r="V536" t="n">
        <v>3</v>
      </c>
      <c r="W536" t="inlineStr">
        <is>
          <t>2002-01-30</t>
        </is>
      </c>
      <c r="X536" t="inlineStr">
        <is>
          <t>2002-01-30</t>
        </is>
      </c>
      <c r="Y536" t="inlineStr">
        <is>
          <t>2002-01-30</t>
        </is>
      </c>
      <c r="Z536" t="inlineStr">
        <is>
          <t>2002-01-30</t>
        </is>
      </c>
      <c r="AA536" t="n">
        <v>43</v>
      </c>
      <c r="AB536" t="n">
        <v>35</v>
      </c>
      <c r="AC536" t="n">
        <v>35</v>
      </c>
      <c r="AD536" t="n">
        <v>1</v>
      </c>
      <c r="AE536" t="n">
        <v>1</v>
      </c>
      <c r="AF536" t="n">
        <v>1</v>
      </c>
      <c r="AG536" t="n">
        <v>1</v>
      </c>
      <c r="AH536" t="n">
        <v>0</v>
      </c>
      <c r="AI536" t="n">
        <v>0</v>
      </c>
      <c r="AJ536" t="n">
        <v>1</v>
      </c>
      <c r="AK536" t="n">
        <v>1</v>
      </c>
      <c r="AL536" t="n">
        <v>0</v>
      </c>
      <c r="AM536" t="n">
        <v>0</v>
      </c>
      <c r="AN536" t="n">
        <v>0</v>
      </c>
      <c r="AO536" t="n">
        <v>0</v>
      </c>
      <c r="AP536" t="n">
        <v>0</v>
      </c>
      <c r="AQ536" t="n">
        <v>0</v>
      </c>
      <c r="AR536" t="inlineStr">
        <is>
          <t>No</t>
        </is>
      </c>
      <c r="AS536" t="inlineStr">
        <is>
          <t>No</t>
        </is>
      </c>
      <c r="AU536">
        <f>HYPERLINK("https://creighton-primo.hosted.exlibrisgroup.com/primo-explore/search?tab=default_tab&amp;search_scope=EVERYTHING&amp;vid=01CRU&amp;lang=en_US&amp;offset=0&amp;query=any,contains,991003720729702656","Catalog Record")</f>
        <v/>
      </c>
      <c r="AV536">
        <f>HYPERLINK("http://www.worldcat.org/oclc/34290326","WorldCat Record")</f>
        <v/>
      </c>
      <c r="AW536" t="inlineStr">
        <is>
          <t>357275606:spa</t>
        </is>
      </c>
      <c r="AX536" t="inlineStr">
        <is>
          <t>34290326</t>
        </is>
      </c>
      <c r="AY536" t="inlineStr">
        <is>
          <t>991003720729702656</t>
        </is>
      </c>
      <c r="AZ536" t="inlineStr">
        <is>
          <t>991003720729702656</t>
        </is>
      </c>
      <c r="BA536" t="inlineStr">
        <is>
          <t>2257034000002656</t>
        </is>
      </c>
      <c r="BB536" t="inlineStr">
        <is>
          <t>BOOK</t>
        </is>
      </c>
      <c r="BD536" t="inlineStr">
        <is>
          <t>9788478386826</t>
        </is>
      </c>
      <c r="BE536" t="inlineStr">
        <is>
          <t>32285004451406</t>
        </is>
      </c>
      <c r="BF536" t="inlineStr">
        <is>
          <t>893711699</t>
        </is>
      </c>
    </row>
    <row r="537">
      <c r="A537" t="inlineStr">
        <is>
          <t>No</t>
        </is>
      </c>
      <c r="B537" t="inlineStr">
        <is>
          <t>CURAL</t>
        </is>
      </c>
      <c r="C537" t="inlineStr">
        <is>
          <t>SHELVES</t>
        </is>
      </c>
      <c r="D537" t="inlineStr">
        <is>
          <t>PQ6177 .A68 1992</t>
        </is>
      </c>
      <c r="E537" t="inlineStr">
        <is>
          <t>0                      PQ 6177000A  68          1992</t>
        </is>
      </c>
      <c r="F537" t="inlineStr">
        <is>
          <t>Antologaia poaetica de escritoras del siglo XIX / ediciaon, introducciaon y notas de Susan Kirkpatrick.</t>
        </is>
      </c>
      <c r="H537" t="inlineStr">
        <is>
          <t>No</t>
        </is>
      </c>
      <c r="I537" t="inlineStr">
        <is>
          <t>1</t>
        </is>
      </c>
      <c r="J537" t="inlineStr">
        <is>
          <t>No</t>
        </is>
      </c>
      <c r="K537" t="inlineStr">
        <is>
          <t>No</t>
        </is>
      </c>
      <c r="L537" t="inlineStr">
        <is>
          <t>0</t>
        </is>
      </c>
      <c r="N537" t="inlineStr">
        <is>
          <t>Madrid : Editorial Castalia : Instituto de la Mujer, c1992.</t>
        </is>
      </c>
      <c r="O537" t="inlineStr">
        <is>
          <t>1992</t>
        </is>
      </c>
      <c r="Q537" t="inlineStr">
        <is>
          <t>spa</t>
        </is>
      </c>
      <c r="R537" t="inlineStr">
        <is>
          <t xml:space="preserve">sp </t>
        </is>
      </c>
      <c r="S537" t="inlineStr">
        <is>
          <t>Biblioteca de escritoras ; 34</t>
        </is>
      </c>
      <c r="T537" t="inlineStr">
        <is>
          <t xml:space="preserve">PQ </t>
        </is>
      </c>
      <c r="U537" t="n">
        <v>1</v>
      </c>
      <c r="V537" t="n">
        <v>1</v>
      </c>
      <c r="W537" t="inlineStr">
        <is>
          <t>2004-09-27</t>
        </is>
      </c>
      <c r="X537" t="inlineStr">
        <is>
          <t>2004-09-27</t>
        </is>
      </c>
      <c r="Y537" t="inlineStr">
        <is>
          <t>2004-09-27</t>
        </is>
      </c>
      <c r="Z537" t="inlineStr">
        <is>
          <t>2004-09-27</t>
        </is>
      </c>
      <c r="AA537" t="n">
        <v>118</v>
      </c>
      <c r="AB537" t="n">
        <v>90</v>
      </c>
      <c r="AC537" t="n">
        <v>92</v>
      </c>
      <c r="AD537" t="n">
        <v>1</v>
      </c>
      <c r="AE537" t="n">
        <v>1</v>
      </c>
      <c r="AF537" t="n">
        <v>5</v>
      </c>
      <c r="AG537" t="n">
        <v>5</v>
      </c>
      <c r="AH537" t="n">
        <v>1</v>
      </c>
      <c r="AI537" t="n">
        <v>1</v>
      </c>
      <c r="AJ537" t="n">
        <v>3</v>
      </c>
      <c r="AK537" t="n">
        <v>3</v>
      </c>
      <c r="AL537" t="n">
        <v>4</v>
      </c>
      <c r="AM537" t="n">
        <v>4</v>
      </c>
      <c r="AN537" t="n">
        <v>0</v>
      </c>
      <c r="AO537" t="n">
        <v>0</v>
      </c>
      <c r="AP537" t="n">
        <v>0</v>
      </c>
      <c r="AQ537" t="n">
        <v>0</v>
      </c>
      <c r="AR537" t="inlineStr">
        <is>
          <t>No</t>
        </is>
      </c>
      <c r="AS537" t="inlineStr">
        <is>
          <t>Yes</t>
        </is>
      </c>
      <c r="AT537">
        <f>HYPERLINK("http://catalog.hathitrust.org/Record/002732484","HathiTrust Record")</f>
        <v/>
      </c>
      <c r="AU537">
        <f>HYPERLINK("https://creighton-primo.hosted.exlibrisgroup.com/primo-explore/search?tab=default_tab&amp;search_scope=EVERYTHING&amp;vid=01CRU&amp;lang=en_US&amp;offset=0&amp;query=any,contains,991004345429702656","Catalog Record")</f>
        <v/>
      </c>
      <c r="AV537">
        <f>HYPERLINK("http://www.worldcat.org/oclc/28389363","WorldCat Record")</f>
        <v/>
      </c>
      <c r="AW537" t="inlineStr">
        <is>
          <t>53072668:spa</t>
        </is>
      </c>
      <c r="AX537" t="inlineStr">
        <is>
          <t>28389363</t>
        </is>
      </c>
      <c r="AY537" t="inlineStr">
        <is>
          <t>991004345429702656</t>
        </is>
      </c>
      <c r="AZ537" t="inlineStr">
        <is>
          <t>991004345429702656</t>
        </is>
      </c>
      <c r="BA537" t="inlineStr">
        <is>
          <t>2255765370002656</t>
        </is>
      </c>
      <c r="BB537" t="inlineStr">
        <is>
          <t>BOOK</t>
        </is>
      </c>
      <c r="BD537" t="inlineStr">
        <is>
          <t>9788470396625</t>
        </is>
      </c>
      <c r="BE537" t="inlineStr">
        <is>
          <t>32285004989330</t>
        </is>
      </c>
      <c r="BF537" t="inlineStr">
        <is>
          <t>893353345</t>
        </is>
      </c>
    </row>
    <row r="538">
      <c r="A538" t="inlineStr">
        <is>
          <t>No</t>
        </is>
      </c>
      <c r="B538" t="inlineStr">
        <is>
          <t>CURAL</t>
        </is>
      </c>
      <c r="C538" t="inlineStr">
        <is>
          <t>SHELVES</t>
        </is>
      </c>
      <c r="D538" t="inlineStr">
        <is>
          <t>PQ6181 .A4</t>
        </is>
      </c>
      <c r="E538" t="inlineStr">
        <is>
          <t>0                      PQ 6181000A  4</t>
        </is>
      </c>
      <c r="F538" t="inlineStr">
        <is>
          <t>Poesía española medieval. Edición, introd., bibliografía y notas de Manuel Alvar.</t>
        </is>
      </c>
      <c r="H538" t="inlineStr">
        <is>
          <t>No</t>
        </is>
      </c>
      <c r="I538" t="inlineStr">
        <is>
          <t>1</t>
        </is>
      </c>
      <c r="J538" t="inlineStr">
        <is>
          <t>No</t>
        </is>
      </c>
      <c r="K538" t="inlineStr">
        <is>
          <t>No</t>
        </is>
      </c>
      <c r="L538" t="inlineStr">
        <is>
          <t>0</t>
        </is>
      </c>
      <c r="M538" t="inlineStr">
        <is>
          <t>Alvar, Manuel, 1923-2001, compiler.</t>
        </is>
      </c>
      <c r="N538" t="inlineStr">
        <is>
          <t>Barcelona, Editorial Planeta [1969]</t>
        </is>
      </c>
      <c r="O538" t="inlineStr">
        <is>
          <t>1969</t>
        </is>
      </c>
      <c r="P538" t="inlineStr">
        <is>
          <t>[1. ed.]</t>
        </is>
      </c>
      <c r="Q538" t="inlineStr">
        <is>
          <t>spa</t>
        </is>
      </c>
      <c r="R538" t="inlineStr">
        <is>
          <t xml:space="preserve">sp </t>
        </is>
      </c>
      <c r="S538" t="inlineStr">
        <is>
          <t>Clásicos Planeta ; 15</t>
        </is>
      </c>
      <c r="T538" t="inlineStr">
        <is>
          <t xml:space="preserve">PQ </t>
        </is>
      </c>
      <c r="U538" t="n">
        <v>5</v>
      </c>
      <c r="V538" t="n">
        <v>5</v>
      </c>
      <c r="W538" t="inlineStr">
        <is>
          <t>1999-10-22</t>
        </is>
      </c>
      <c r="X538" t="inlineStr">
        <is>
          <t>1999-10-22</t>
        </is>
      </c>
      <c r="Y538" t="inlineStr">
        <is>
          <t>1997-07-01</t>
        </is>
      </c>
      <c r="Z538" t="inlineStr">
        <is>
          <t>1997-07-01</t>
        </is>
      </c>
      <c r="AA538" t="n">
        <v>226</v>
      </c>
      <c r="AB538" t="n">
        <v>177</v>
      </c>
      <c r="AC538" t="n">
        <v>179</v>
      </c>
      <c r="AD538" t="n">
        <v>2</v>
      </c>
      <c r="AE538" t="n">
        <v>2</v>
      </c>
      <c r="AF538" t="n">
        <v>12</v>
      </c>
      <c r="AG538" t="n">
        <v>12</v>
      </c>
      <c r="AH538" t="n">
        <v>0</v>
      </c>
      <c r="AI538" t="n">
        <v>0</v>
      </c>
      <c r="AJ538" t="n">
        <v>6</v>
      </c>
      <c r="AK538" t="n">
        <v>6</v>
      </c>
      <c r="AL538" t="n">
        <v>7</v>
      </c>
      <c r="AM538" t="n">
        <v>7</v>
      </c>
      <c r="AN538" t="n">
        <v>1</v>
      </c>
      <c r="AO538" t="n">
        <v>1</v>
      </c>
      <c r="AP538" t="n">
        <v>0</v>
      </c>
      <c r="AQ538" t="n">
        <v>0</v>
      </c>
      <c r="AR538" t="inlineStr">
        <is>
          <t>No</t>
        </is>
      </c>
      <c r="AS538" t="inlineStr">
        <is>
          <t>No</t>
        </is>
      </c>
      <c r="AU538">
        <f>HYPERLINK("https://creighton-primo.hosted.exlibrisgroup.com/primo-explore/search?tab=default_tab&amp;search_scope=EVERYTHING&amp;vid=01CRU&amp;lang=en_US&amp;offset=0&amp;query=any,contains,991003040689702656","Catalog Record")</f>
        <v/>
      </c>
      <c r="AV538">
        <f>HYPERLINK("http://www.worldcat.org/oclc/602132","WorldCat Record")</f>
        <v/>
      </c>
      <c r="AW538" t="inlineStr">
        <is>
          <t>319796718:spa</t>
        </is>
      </c>
      <c r="AX538" t="inlineStr">
        <is>
          <t>602132</t>
        </is>
      </c>
      <c r="AY538" t="inlineStr">
        <is>
          <t>991003040689702656</t>
        </is>
      </c>
      <c r="AZ538" t="inlineStr">
        <is>
          <t>991003040689702656</t>
        </is>
      </c>
      <c r="BA538" t="inlineStr">
        <is>
          <t>2259818170002656</t>
        </is>
      </c>
      <c r="BB538" t="inlineStr">
        <is>
          <t>BOOK</t>
        </is>
      </c>
      <c r="BE538" t="inlineStr">
        <is>
          <t>32285002517430</t>
        </is>
      </c>
      <c r="BF538" t="inlineStr">
        <is>
          <t>893348275</t>
        </is>
      </c>
    </row>
    <row r="539">
      <c r="A539" t="inlineStr">
        <is>
          <t>No</t>
        </is>
      </c>
      <c r="B539" t="inlineStr">
        <is>
          <t>CURAL</t>
        </is>
      </c>
      <c r="C539" t="inlineStr">
        <is>
          <t>SHELVES</t>
        </is>
      </c>
      <c r="D539" t="inlineStr">
        <is>
          <t>PQ6184 .P574 1993</t>
        </is>
      </c>
      <c r="E539" t="inlineStr">
        <is>
          <t>0                      PQ 6184000P  574         1993</t>
        </is>
      </c>
      <c r="F539" t="inlineStr">
        <is>
          <t>Poesía lírica del Siglo de Oro / edición de Elias L. Rivers.</t>
        </is>
      </c>
      <c r="H539" t="inlineStr">
        <is>
          <t>No</t>
        </is>
      </c>
      <c r="I539" t="inlineStr">
        <is>
          <t>1</t>
        </is>
      </c>
      <c r="J539" t="inlineStr">
        <is>
          <t>No</t>
        </is>
      </c>
      <c r="K539" t="inlineStr">
        <is>
          <t>No</t>
        </is>
      </c>
      <c r="L539" t="inlineStr">
        <is>
          <t>0</t>
        </is>
      </c>
      <c r="N539" t="inlineStr">
        <is>
          <t>Madrid : Cátedra, c1993.</t>
        </is>
      </c>
      <c r="O539" t="inlineStr">
        <is>
          <t>1993</t>
        </is>
      </c>
      <c r="P539" t="inlineStr">
        <is>
          <t>13a. ed.</t>
        </is>
      </c>
      <c r="Q539" t="inlineStr">
        <is>
          <t>spa</t>
        </is>
      </c>
      <c r="R539" t="inlineStr">
        <is>
          <t xml:space="preserve">sp </t>
        </is>
      </c>
      <c r="S539" t="inlineStr">
        <is>
          <t>Letras hispánicas</t>
        </is>
      </c>
      <c r="T539" t="inlineStr">
        <is>
          <t xml:space="preserve">PQ </t>
        </is>
      </c>
      <c r="U539" t="n">
        <v>4</v>
      </c>
      <c r="V539" t="n">
        <v>4</v>
      </c>
      <c r="W539" t="inlineStr">
        <is>
          <t>2005-10-31</t>
        </is>
      </c>
      <c r="X539" t="inlineStr">
        <is>
          <t>2005-10-31</t>
        </is>
      </c>
      <c r="Y539" t="inlineStr">
        <is>
          <t>2001-03-26</t>
        </is>
      </c>
      <c r="Z539" t="inlineStr">
        <is>
          <t>2001-03-26</t>
        </is>
      </c>
      <c r="AA539" t="n">
        <v>7</v>
      </c>
      <c r="AB539" t="n">
        <v>5</v>
      </c>
      <c r="AC539" t="n">
        <v>33</v>
      </c>
      <c r="AD539" t="n">
        <v>1</v>
      </c>
      <c r="AE539" t="n">
        <v>1</v>
      </c>
      <c r="AF539" t="n">
        <v>0</v>
      </c>
      <c r="AG539" t="n">
        <v>2</v>
      </c>
      <c r="AH539" t="n">
        <v>0</v>
      </c>
      <c r="AI539" t="n">
        <v>1</v>
      </c>
      <c r="AJ539" t="n">
        <v>0</v>
      </c>
      <c r="AK539" t="n">
        <v>1</v>
      </c>
      <c r="AL539" t="n">
        <v>0</v>
      </c>
      <c r="AM539" t="n">
        <v>1</v>
      </c>
      <c r="AN539" t="n">
        <v>0</v>
      </c>
      <c r="AO539" t="n">
        <v>0</v>
      </c>
      <c r="AP539" t="n">
        <v>0</v>
      </c>
      <c r="AQ539" t="n">
        <v>0</v>
      </c>
      <c r="AR539" t="inlineStr">
        <is>
          <t>No</t>
        </is>
      </c>
      <c r="AS539" t="inlineStr">
        <is>
          <t>No</t>
        </is>
      </c>
      <c r="AU539">
        <f>HYPERLINK("https://creighton-primo.hosted.exlibrisgroup.com/primo-explore/search?tab=default_tab&amp;search_scope=EVERYTHING&amp;vid=01CRU&amp;lang=en_US&amp;offset=0&amp;query=any,contains,991003484099702656","Catalog Record")</f>
        <v/>
      </c>
      <c r="AV539">
        <f>HYPERLINK("http://www.worldcat.org/oclc/34017414","WorldCat Record")</f>
        <v/>
      </c>
      <c r="AW539" t="inlineStr">
        <is>
          <t>4790878134:spa</t>
        </is>
      </c>
      <c r="AX539" t="inlineStr">
        <is>
          <t>34017414</t>
        </is>
      </c>
      <c r="AY539" t="inlineStr">
        <is>
          <t>991003484099702656</t>
        </is>
      </c>
      <c r="AZ539" t="inlineStr">
        <is>
          <t>991003484099702656</t>
        </is>
      </c>
      <c r="BA539" t="inlineStr">
        <is>
          <t>2271629460002656</t>
        </is>
      </c>
      <c r="BB539" t="inlineStr">
        <is>
          <t>BOOK</t>
        </is>
      </c>
      <c r="BD539" t="inlineStr">
        <is>
          <t>9788437601748</t>
        </is>
      </c>
      <c r="BE539" t="inlineStr">
        <is>
          <t>32285004307384</t>
        </is>
      </c>
      <c r="BF539" t="inlineStr">
        <is>
          <t>893258463</t>
        </is>
      </c>
    </row>
    <row r="540">
      <c r="A540" t="inlineStr">
        <is>
          <t>No</t>
        </is>
      </c>
      <c r="B540" t="inlineStr">
        <is>
          <t>CURAL</t>
        </is>
      </c>
      <c r="C540" t="inlineStr">
        <is>
          <t>SHELVES</t>
        </is>
      </c>
      <c r="D540" t="inlineStr">
        <is>
          <t>PQ6185 .P63 1993</t>
        </is>
      </c>
      <c r="E540" t="inlineStr">
        <is>
          <t>0                      PQ 6185000P  63          1993</t>
        </is>
      </c>
      <c r="F540" t="inlineStr">
        <is>
          <t>Poesía española del siglo XVIII / edición de Rogelio Reyes.</t>
        </is>
      </c>
      <c r="H540" t="inlineStr">
        <is>
          <t>No</t>
        </is>
      </c>
      <c r="I540" t="inlineStr">
        <is>
          <t>1</t>
        </is>
      </c>
      <c r="J540" t="inlineStr">
        <is>
          <t>No</t>
        </is>
      </c>
      <c r="K540" t="inlineStr">
        <is>
          <t>No</t>
        </is>
      </c>
      <c r="L540" t="inlineStr">
        <is>
          <t>0</t>
        </is>
      </c>
      <c r="N540" t="inlineStr">
        <is>
          <t>Madrid : Cátedra, 1993.</t>
        </is>
      </c>
      <c r="O540" t="inlineStr">
        <is>
          <t>1993</t>
        </is>
      </c>
      <c r="P540" t="inlineStr">
        <is>
          <t>2. ed.</t>
        </is>
      </c>
      <c r="Q540" t="inlineStr">
        <is>
          <t>spa</t>
        </is>
      </c>
      <c r="R540" t="inlineStr">
        <is>
          <t xml:space="preserve">sp </t>
        </is>
      </c>
      <c r="S540" t="inlineStr">
        <is>
          <t>Letras hispánicas ; 277</t>
        </is>
      </c>
      <c r="T540" t="inlineStr">
        <is>
          <t xml:space="preserve">PQ </t>
        </is>
      </c>
      <c r="U540" t="n">
        <v>2</v>
      </c>
      <c r="V540" t="n">
        <v>2</v>
      </c>
      <c r="W540" t="inlineStr">
        <is>
          <t>2001-05-16</t>
        </is>
      </c>
      <c r="X540" t="inlineStr">
        <is>
          <t>2001-05-16</t>
        </is>
      </c>
      <c r="Y540" t="inlineStr">
        <is>
          <t>2001-04-11</t>
        </is>
      </c>
      <c r="Z540" t="inlineStr">
        <is>
          <t>2001-04-11</t>
        </is>
      </c>
      <c r="AA540" t="n">
        <v>20</v>
      </c>
      <c r="AB540" t="n">
        <v>18</v>
      </c>
      <c r="AC540" t="n">
        <v>104</v>
      </c>
      <c r="AD540" t="n">
        <v>1</v>
      </c>
      <c r="AE540" t="n">
        <v>2</v>
      </c>
      <c r="AF540" t="n">
        <v>1</v>
      </c>
      <c r="AG540" t="n">
        <v>3</v>
      </c>
      <c r="AH540" t="n">
        <v>0</v>
      </c>
      <c r="AI540" t="n">
        <v>0</v>
      </c>
      <c r="AJ540" t="n">
        <v>0</v>
      </c>
      <c r="AK540" t="n">
        <v>0</v>
      </c>
      <c r="AL540" t="n">
        <v>1</v>
      </c>
      <c r="AM540" t="n">
        <v>2</v>
      </c>
      <c r="AN540" t="n">
        <v>0</v>
      </c>
      <c r="AO540" t="n">
        <v>1</v>
      </c>
      <c r="AP540" t="n">
        <v>0</v>
      </c>
      <c r="AQ540" t="n">
        <v>0</v>
      </c>
      <c r="AR540" t="inlineStr">
        <is>
          <t>No</t>
        </is>
      </c>
      <c r="AS540" t="inlineStr">
        <is>
          <t>No</t>
        </is>
      </c>
      <c r="AU540">
        <f>HYPERLINK("https://creighton-primo.hosted.exlibrisgroup.com/primo-explore/search?tab=default_tab&amp;search_scope=EVERYTHING&amp;vid=01CRU&amp;lang=en_US&amp;offset=0&amp;query=any,contains,991003483979702656","Catalog Record")</f>
        <v/>
      </c>
      <c r="AV540">
        <f>HYPERLINK("http://www.worldcat.org/oclc/37817253","WorldCat Record")</f>
        <v/>
      </c>
      <c r="AW540" t="inlineStr">
        <is>
          <t>55103356:spa</t>
        </is>
      </c>
      <c r="AX540" t="inlineStr">
        <is>
          <t>37817253</t>
        </is>
      </c>
      <c r="AY540" t="inlineStr">
        <is>
          <t>991003483979702656</t>
        </is>
      </c>
      <c r="AZ540" t="inlineStr">
        <is>
          <t>991003483979702656</t>
        </is>
      </c>
      <c r="BA540" t="inlineStr">
        <is>
          <t>2258678040002656</t>
        </is>
      </c>
      <c r="BB540" t="inlineStr">
        <is>
          <t>BOOK</t>
        </is>
      </c>
      <c r="BD540" t="inlineStr">
        <is>
          <t>9788437607276</t>
        </is>
      </c>
      <c r="BE540" t="inlineStr">
        <is>
          <t>32285004311998</t>
        </is>
      </c>
      <c r="BF540" t="inlineStr">
        <is>
          <t>893900014</t>
        </is>
      </c>
    </row>
    <row r="541">
      <c r="A541" t="inlineStr">
        <is>
          <t>No</t>
        </is>
      </c>
      <c r="B541" t="inlineStr">
        <is>
          <t>CURAL</t>
        </is>
      </c>
      <c r="C541" t="inlineStr">
        <is>
          <t>SHELVES</t>
        </is>
      </c>
      <c r="D541" t="inlineStr">
        <is>
          <t>PQ6186 .C3 1967</t>
        </is>
      </c>
      <c r="E541" t="inlineStr">
        <is>
          <t>0                      PQ 6186000C  3           1967</t>
        </is>
      </c>
      <c r="F541" t="inlineStr">
        <is>
          <t>Madre : antología poética / prólogo y notas de Rafael Ramón Castellanos. Selección de Liria Lourdes Castellanos.</t>
        </is>
      </c>
      <c r="H541" t="inlineStr">
        <is>
          <t>No</t>
        </is>
      </c>
      <c r="I541" t="inlineStr">
        <is>
          <t>1</t>
        </is>
      </c>
      <c r="J541" t="inlineStr">
        <is>
          <t>No</t>
        </is>
      </c>
      <c r="K541" t="inlineStr">
        <is>
          <t>No</t>
        </is>
      </c>
      <c r="L541" t="inlineStr">
        <is>
          <t>0</t>
        </is>
      </c>
      <c r="M541" t="inlineStr">
        <is>
          <t>Castellanos, Liria Lourdes, compiler.</t>
        </is>
      </c>
      <c r="O541" t="inlineStr">
        <is>
          <t>1967</t>
        </is>
      </c>
      <c r="Q541" t="inlineStr">
        <is>
          <t>spa</t>
        </is>
      </c>
      <c r="R541" t="inlineStr">
        <is>
          <t xml:space="preserve">ve </t>
        </is>
      </c>
      <c r="T541" t="inlineStr">
        <is>
          <t xml:space="preserve">PQ </t>
        </is>
      </c>
      <c r="U541" t="n">
        <v>1</v>
      </c>
      <c r="V541" t="n">
        <v>1</v>
      </c>
      <c r="W541" t="inlineStr">
        <is>
          <t>2002-04-03</t>
        </is>
      </c>
      <c r="X541" t="inlineStr">
        <is>
          <t>2002-04-03</t>
        </is>
      </c>
      <c r="Y541" t="inlineStr">
        <is>
          <t>2002-03-07</t>
        </is>
      </c>
      <c r="Z541" t="inlineStr">
        <is>
          <t>2002-03-07</t>
        </is>
      </c>
      <c r="AA541" t="n">
        <v>27</v>
      </c>
      <c r="AB541" t="n">
        <v>27</v>
      </c>
      <c r="AC541" t="n">
        <v>29</v>
      </c>
      <c r="AD541" t="n">
        <v>1</v>
      </c>
      <c r="AE541" t="n">
        <v>1</v>
      </c>
      <c r="AF541" t="n">
        <v>0</v>
      </c>
      <c r="AG541" t="n">
        <v>0</v>
      </c>
      <c r="AH541" t="n">
        <v>0</v>
      </c>
      <c r="AI541" t="n">
        <v>0</v>
      </c>
      <c r="AJ541" t="n">
        <v>0</v>
      </c>
      <c r="AK541" t="n">
        <v>0</v>
      </c>
      <c r="AL541" t="n">
        <v>0</v>
      </c>
      <c r="AM541" t="n">
        <v>0</v>
      </c>
      <c r="AN541" t="n">
        <v>0</v>
      </c>
      <c r="AO541" t="n">
        <v>0</v>
      </c>
      <c r="AP541" t="n">
        <v>0</v>
      </c>
      <c r="AQ541" t="n">
        <v>0</v>
      </c>
      <c r="AR541" t="inlineStr">
        <is>
          <t>No</t>
        </is>
      </c>
      <c r="AS541" t="inlineStr">
        <is>
          <t>Yes</t>
        </is>
      </c>
      <c r="AT541">
        <f>HYPERLINK("http://catalog.hathitrust.org/Record/101014188","HathiTrust Record")</f>
        <v/>
      </c>
      <c r="AU541">
        <f>HYPERLINK("https://creighton-primo.hosted.exlibrisgroup.com/primo-explore/search?tab=default_tab&amp;search_scope=EVERYTHING&amp;vid=01CRU&amp;lang=en_US&amp;offset=0&amp;query=any,contains,991003759869702656","Catalog Record")</f>
        <v/>
      </c>
      <c r="AV541">
        <f>HYPERLINK("http://www.worldcat.org/oclc/1153369","WorldCat Record")</f>
        <v/>
      </c>
      <c r="AW541" t="inlineStr">
        <is>
          <t>2084152:spa</t>
        </is>
      </c>
      <c r="AX541" t="inlineStr">
        <is>
          <t>1153369</t>
        </is>
      </c>
      <c r="AY541" t="inlineStr">
        <is>
          <t>991003759869702656</t>
        </is>
      </c>
      <c r="AZ541" t="inlineStr">
        <is>
          <t>991003759869702656</t>
        </is>
      </c>
      <c r="BA541" t="inlineStr">
        <is>
          <t>2265054970002656</t>
        </is>
      </c>
      <c r="BB541" t="inlineStr">
        <is>
          <t>BOOK</t>
        </is>
      </c>
      <c r="BE541" t="inlineStr">
        <is>
          <t>32285004460159</t>
        </is>
      </c>
      <c r="BF541" t="inlineStr">
        <is>
          <t>893686920</t>
        </is>
      </c>
    </row>
    <row r="542">
      <c r="A542" t="inlineStr">
        <is>
          <t>No</t>
        </is>
      </c>
      <c r="B542" t="inlineStr">
        <is>
          <t>CURAL</t>
        </is>
      </c>
      <c r="C542" t="inlineStr">
        <is>
          <t>SHELVES</t>
        </is>
      </c>
      <c r="D542" t="inlineStr">
        <is>
          <t>PQ6186 .S3</t>
        </is>
      </c>
      <c r="E542" t="inlineStr">
        <is>
          <t>0                      PQ 6186000S  3</t>
        </is>
      </c>
      <c r="F542" t="inlineStr">
        <is>
          <t>Nineteenth-century Spanish verse.</t>
        </is>
      </c>
      <c r="H542" t="inlineStr">
        <is>
          <t>No</t>
        </is>
      </c>
      <c r="I542" t="inlineStr">
        <is>
          <t>1</t>
        </is>
      </c>
      <c r="J542" t="inlineStr">
        <is>
          <t>No</t>
        </is>
      </c>
      <c r="K542" t="inlineStr">
        <is>
          <t>No</t>
        </is>
      </c>
      <c r="L542" t="inlineStr">
        <is>
          <t>0</t>
        </is>
      </c>
      <c r="M542" t="inlineStr">
        <is>
          <t>Sanchez, José, editor.</t>
        </is>
      </c>
      <c r="N542" t="inlineStr">
        <is>
          <t>New York : Appleton-Century-Crofts, [1949]</t>
        </is>
      </c>
      <c r="O542" t="inlineStr">
        <is>
          <t>1949</t>
        </is>
      </c>
      <c r="Q542" t="inlineStr">
        <is>
          <t>spa</t>
        </is>
      </c>
      <c r="R542" t="inlineStr">
        <is>
          <t>nyu</t>
        </is>
      </c>
      <c r="T542" t="inlineStr">
        <is>
          <t xml:space="preserve">PQ </t>
        </is>
      </c>
      <c r="U542" t="n">
        <v>5</v>
      </c>
      <c r="V542" t="n">
        <v>5</v>
      </c>
      <c r="W542" t="inlineStr">
        <is>
          <t>2006-11-20</t>
        </is>
      </c>
      <c r="X542" t="inlineStr">
        <is>
          <t>2006-11-20</t>
        </is>
      </c>
      <c r="Y542" t="inlineStr">
        <is>
          <t>1992-03-25</t>
        </is>
      </c>
      <c r="Z542" t="inlineStr">
        <is>
          <t>1992-03-25</t>
        </is>
      </c>
      <c r="AA542" t="n">
        <v>437</v>
      </c>
      <c r="AB542" t="n">
        <v>412</v>
      </c>
      <c r="AC542" t="n">
        <v>437</v>
      </c>
      <c r="AD542" t="n">
        <v>2</v>
      </c>
      <c r="AE542" t="n">
        <v>2</v>
      </c>
      <c r="AF542" t="n">
        <v>15</v>
      </c>
      <c r="AG542" t="n">
        <v>16</v>
      </c>
      <c r="AH542" t="n">
        <v>4</v>
      </c>
      <c r="AI542" t="n">
        <v>4</v>
      </c>
      <c r="AJ542" t="n">
        <v>3</v>
      </c>
      <c r="AK542" t="n">
        <v>3</v>
      </c>
      <c r="AL542" t="n">
        <v>10</v>
      </c>
      <c r="AM542" t="n">
        <v>11</v>
      </c>
      <c r="AN542" t="n">
        <v>1</v>
      </c>
      <c r="AO542" t="n">
        <v>1</v>
      </c>
      <c r="AP542" t="n">
        <v>0</v>
      </c>
      <c r="AQ542" t="n">
        <v>0</v>
      </c>
      <c r="AR542" t="inlineStr">
        <is>
          <t>No</t>
        </is>
      </c>
      <c r="AS542" t="inlineStr">
        <is>
          <t>Yes</t>
        </is>
      </c>
      <c r="AT542">
        <f>HYPERLINK("http://catalog.hathitrust.org/Record/006728991","HathiTrust Record")</f>
        <v/>
      </c>
      <c r="AU542">
        <f>HYPERLINK("https://creighton-primo.hosted.exlibrisgroup.com/primo-explore/search?tab=default_tab&amp;search_scope=EVERYTHING&amp;vid=01CRU&amp;lang=en_US&amp;offset=0&amp;query=any,contains,991002993929702656","Catalog Record")</f>
        <v/>
      </c>
      <c r="AV542">
        <f>HYPERLINK("http://www.worldcat.org/oclc/562363","WorldCat Record")</f>
        <v/>
      </c>
      <c r="AW542" t="inlineStr">
        <is>
          <t>1640632:spa</t>
        </is>
      </c>
      <c r="AX542" t="inlineStr">
        <is>
          <t>562363</t>
        </is>
      </c>
      <c r="AY542" t="inlineStr">
        <is>
          <t>991002993929702656</t>
        </is>
      </c>
      <c r="AZ542" t="inlineStr">
        <is>
          <t>991002993929702656</t>
        </is>
      </c>
      <c r="BA542" t="inlineStr">
        <is>
          <t>2254915710002656</t>
        </is>
      </c>
      <c r="BB542" t="inlineStr">
        <is>
          <t>BOOK</t>
        </is>
      </c>
      <c r="BE542" t="inlineStr">
        <is>
          <t>32285001028421</t>
        </is>
      </c>
      <c r="BF542" t="inlineStr">
        <is>
          <t>893505082</t>
        </is>
      </c>
    </row>
    <row r="543">
      <c r="A543" t="inlineStr">
        <is>
          <t>No</t>
        </is>
      </c>
      <c r="B543" t="inlineStr">
        <is>
          <t>CURAL</t>
        </is>
      </c>
      <c r="C543" t="inlineStr">
        <is>
          <t>SHELVES</t>
        </is>
      </c>
      <c r="D543" t="inlineStr">
        <is>
          <t>PQ6187 .A615 1997</t>
        </is>
      </c>
      <c r="E543" t="inlineStr">
        <is>
          <t>0                      PQ 6187000A  615         1997</t>
        </is>
      </c>
      <c r="F543" t="inlineStr">
        <is>
          <t>Antología de poesía española : (1975-1995) / con cuadros cronológicos, introducción, textos íntegros, bibliografía, notas y llamadas de atención, documentos y orientaciones para el estudio a cargo de José Enrique Martínez.</t>
        </is>
      </c>
      <c r="H543" t="inlineStr">
        <is>
          <t>No</t>
        </is>
      </c>
      <c r="I543" t="inlineStr">
        <is>
          <t>1</t>
        </is>
      </c>
      <c r="J543" t="inlineStr">
        <is>
          <t>No</t>
        </is>
      </c>
      <c r="K543" t="inlineStr">
        <is>
          <t>No</t>
        </is>
      </c>
      <c r="L543" t="inlineStr">
        <is>
          <t>0</t>
        </is>
      </c>
      <c r="N543" t="inlineStr">
        <is>
          <t>Madrid : Castalia, 1997.</t>
        </is>
      </c>
      <c r="O543" t="inlineStr">
        <is>
          <t>1997</t>
        </is>
      </c>
      <c r="Q543" t="inlineStr">
        <is>
          <t>spa</t>
        </is>
      </c>
      <c r="R543" t="inlineStr">
        <is>
          <t xml:space="preserve">sp </t>
        </is>
      </c>
      <c r="S543" t="inlineStr">
        <is>
          <t>Castalia didáctica ; 43</t>
        </is>
      </c>
      <c r="T543" t="inlineStr">
        <is>
          <t xml:space="preserve">PQ </t>
        </is>
      </c>
      <c r="U543" t="n">
        <v>0</v>
      </c>
      <c r="V543" t="n">
        <v>0</v>
      </c>
      <c r="W543" t="inlineStr">
        <is>
          <t>2000-06-27</t>
        </is>
      </c>
      <c r="X543" t="inlineStr">
        <is>
          <t>2000-06-27</t>
        </is>
      </c>
      <c r="Y543" t="inlineStr">
        <is>
          <t>1998-03-23</t>
        </is>
      </c>
      <c r="Z543" t="inlineStr">
        <is>
          <t>1998-03-23</t>
        </is>
      </c>
      <c r="AA543" t="n">
        <v>122</v>
      </c>
      <c r="AB543" t="n">
        <v>96</v>
      </c>
      <c r="AC543" t="n">
        <v>106</v>
      </c>
      <c r="AD543" t="n">
        <v>1</v>
      </c>
      <c r="AE543" t="n">
        <v>1</v>
      </c>
      <c r="AF543" t="n">
        <v>4</v>
      </c>
      <c r="AG543" t="n">
        <v>4</v>
      </c>
      <c r="AH543" t="n">
        <v>3</v>
      </c>
      <c r="AI543" t="n">
        <v>3</v>
      </c>
      <c r="AJ543" t="n">
        <v>1</v>
      </c>
      <c r="AK543" t="n">
        <v>1</v>
      </c>
      <c r="AL543" t="n">
        <v>1</v>
      </c>
      <c r="AM543" t="n">
        <v>1</v>
      </c>
      <c r="AN543" t="n">
        <v>0</v>
      </c>
      <c r="AO543" t="n">
        <v>0</v>
      </c>
      <c r="AP543" t="n">
        <v>0</v>
      </c>
      <c r="AQ543" t="n">
        <v>0</v>
      </c>
      <c r="AR543" t="inlineStr">
        <is>
          <t>No</t>
        </is>
      </c>
      <c r="AS543" t="inlineStr">
        <is>
          <t>Yes</t>
        </is>
      </c>
      <c r="AT543">
        <f>HYPERLINK("http://catalog.hathitrust.org/Record/003978871","HathiTrust Record")</f>
        <v/>
      </c>
      <c r="AU543">
        <f>HYPERLINK("https://creighton-primo.hosted.exlibrisgroup.com/primo-explore/search?tab=default_tab&amp;search_scope=EVERYTHING&amp;vid=01CRU&amp;lang=en_US&amp;offset=0&amp;query=any,contains,991002893939702656","Catalog Record")</f>
        <v/>
      </c>
      <c r="AV543">
        <f>HYPERLINK("http://www.worldcat.org/oclc/38126498","WorldCat Record")</f>
        <v/>
      </c>
      <c r="AW543" t="inlineStr">
        <is>
          <t>890835636:spa</t>
        </is>
      </c>
      <c r="AX543" t="inlineStr">
        <is>
          <t>38126498</t>
        </is>
      </c>
      <c r="AY543" t="inlineStr">
        <is>
          <t>991002893939702656</t>
        </is>
      </c>
      <c r="AZ543" t="inlineStr">
        <is>
          <t>991002893939702656</t>
        </is>
      </c>
      <c r="BA543" t="inlineStr">
        <is>
          <t>2271112960002656</t>
        </is>
      </c>
      <c r="BB543" t="inlineStr">
        <is>
          <t>BOOK</t>
        </is>
      </c>
      <c r="BD543" t="inlineStr">
        <is>
          <t>9788470397745</t>
        </is>
      </c>
      <c r="BE543" t="inlineStr">
        <is>
          <t>32285003359766</t>
        </is>
      </c>
      <c r="BF543" t="inlineStr">
        <is>
          <t>893809713</t>
        </is>
      </c>
    </row>
    <row r="544">
      <c r="A544" t="inlineStr">
        <is>
          <t>No</t>
        </is>
      </c>
      <c r="B544" t="inlineStr">
        <is>
          <t>CURAL</t>
        </is>
      </c>
      <c r="C544" t="inlineStr">
        <is>
          <t>SHELVES</t>
        </is>
      </c>
      <c r="D544" t="inlineStr">
        <is>
          <t>PQ6187 .A6155 1988</t>
        </is>
      </c>
      <c r="E544" t="inlineStr">
        <is>
          <t>0                      PQ 6187000A  6155        1988</t>
        </is>
      </c>
      <c r="F544" t="inlineStr">
        <is>
          <t>Antología de los poetas del 27 / selección e introducción José Luis Cano.</t>
        </is>
      </c>
      <c r="H544" t="inlineStr">
        <is>
          <t>No</t>
        </is>
      </c>
      <c r="I544" t="inlineStr">
        <is>
          <t>1</t>
        </is>
      </c>
      <c r="J544" t="inlineStr">
        <is>
          <t>No</t>
        </is>
      </c>
      <c r="K544" t="inlineStr">
        <is>
          <t>No</t>
        </is>
      </c>
      <c r="L544" t="inlineStr">
        <is>
          <t>0</t>
        </is>
      </c>
      <c r="N544" t="inlineStr">
        <is>
          <t>Madrid : Espasa-Calpe, 1988, c1982.</t>
        </is>
      </c>
      <c r="O544" t="inlineStr">
        <is>
          <t>1988</t>
        </is>
      </c>
      <c r="P544" t="inlineStr">
        <is>
          <t>5a ed.</t>
        </is>
      </c>
      <c r="Q544" t="inlineStr">
        <is>
          <t>spa</t>
        </is>
      </c>
      <c r="R544" t="inlineStr">
        <is>
          <t xml:space="preserve">sp </t>
        </is>
      </c>
      <c r="S544" t="inlineStr">
        <is>
          <t>Colección Austral ; 8</t>
        </is>
      </c>
      <c r="T544" t="inlineStr">
        <is>
          <t xml:space="preserve">PQ </t>
        </is>
      </c>
      <c r="U544" t="n">
        <v>4</v>
      </c>
      <c r="V544" t="n">
        <v>4</v>
      </c>
      <c r="W544" t="inlineStr">
        <is>
          <t>1998-09-14</t>
        </is>
      </c>
      <c r="X544" t="inlineStr">
        <is>
          <t>1998-09-14</t>
        </is>
      </c>
      <c r="Y544" t="inlineStr">
        <is>
          <t>1991-06-06</t>
        </is>
      </c>
      <c r="Z544" t="inlineStr">
        <is>
          <t>1991-06-06</t>
        </is>
      </c>
      <c r="AA544" t="n">
        <v>9</v>
      </c>
      <c r="AB544" t="n">
        <v>6</v>
      </c>
      <c r="AC544" t="n">
        <v>6</v>
      </c>
      <c r="AD544" t="n">
        <v>2</v>
      </c>
      <c r="AE544" t="n">
        <v>2</v>
      </c>
      <c r="AF544" t="n">
        <v>1</v>
      </c>
      <c r="AG544" t="n">
        <v>1</v>
      </c>
      <c r="AH544" t="n">
        <v>0</v>
      </c>
      <c r="AI544" t="n">
        <v>0</v>
      </c>
      <c r="AJ544" t="n">
        <v>0</v>
      </c>
      <c r="AK544" t="n">
        <v>0</v>
      </c>
      <c r="AL544" t="n">
        <v>0</v>
      </c>
      <c r="AM544" t="n">
        <v>0</v>
      </c>
      <c r="AN544" t="n">
        <v>1</v>
      </c>
      <c r="AO544" t="n">
        <v>1</v>
      </c>
      <c r="AP544" t="n">
        <v>0</v>
      </c>
      <c r="AQ544" t="n">
        <v>0</v>
      </c>
      <c r="AR544" t="inlineStr">
        <is>
          <t>No</t>
        </is>
      </c>
      <c r="AS544" t="inlineStr">
        <is>
          <t>No</t>
        </is>
      </c>
      <c r="AU544">
        <f>HYPERLINK("https://creighton-primo.hosted.exlibrisgroup.com/primo-explore/search?tab=default_tab&amp;search_scope=EVERYTHING&amp;vid=01CRU&amp;lang=en_US&amp;offset=0&amp;query=any,contains,991001548719702656","Catalog Record")</f>
        <v/>
      </c>
      <c r="AV544">
        <f>HYPERLINK("http://www.worldcat.org/oclc/20189446","WorldCat Record")</f>
        <v/>
      </c>
      <c r="AW544" t="inlineStr">
        <is>
          <t>5090731011:spa</t>
        </is>
      </c>
      <c r="AX544" t="inlineStr">
        <is>
          <t>20189446</t>
        </is>
      </c>
      <c r="AY544" t="inlineStr">
        <is>
          <t>991001548719702656</t>
        </is>
      </c>
      <c r="AZ544" t="inlineStr">
        <is>
          <t>991001548719702656</t>
        </is>
      </c>
      <c r="BA544" t="inlineStr">
        <is>
          <t>2255085880002656</t>
        </is>
      </c>
      <c r="BB544" t="inlineStr">
        <is>
          <t>BOOK</t>
        </is>
      </c>
      <c r="BD544" t="inlineStr">
        <is>
          <t>9788423918089</t>
        </is>
      </c>
      <c r="BE544" t="inlineStr">
        <is>
          <t>32285000599224</t>
        </is>
      </c>
      <c r="BF544" t="inlineStr">
        <is>
          <t>893791503</t>
        </is>
      </c>
    </row>
    <row r="545">
      <c r="A545" t="inlineStr">
        <is>
          <t>No</t>
        </is>
      </c>
      <c r="B545" t="inlineStr">
        <is>
          <t>CURAL</t>
        </is>
      </c>
      <c r="C545" t="inlineStr">
        <is>
          <t>SHELVES</t>
        </is>
      </c>
      <c r="D545" t="inlineStr">
        <is>
          <t>PQ6187 .A755 1997</t>
        </is>
      </c>
      <c r="E545" t="inlineStr">
        <is>
          <t>0                      PQ 6187000A  755         1997</t>
        </is>
      </c>
      <c r="F545" t="inlineStr">
        <is>
          <t>Antología poética de la generación del 27 / selección, estudio y notas por Manuel Cifo González.</t>
        </is>
      </c>
      <c r="H545" t="inlineStr">
        <is>
          <t>No</t>
        </is>
      </c>
      <c r="I545" t="inlineStr">
        <is>
          <t>1</t>
        </is>
      </c>
      <c r="J545" t="inlineStr">
        <is>
          <t>No</t>
        </is>
      </c>
      <c r="K545" t="inlineStr">
        <is>
          <t>No</t>
        </is>
      </c>
      <c r="L545" t="inlineStr">
        <is>
          <t>0</t>
        </is>
      </c>
      <c r="N545" t="inlineStr">
        <is>
          <t>Madrid ; Miami : Santillana, c1997.</t>
        </is>
      </c>
      <c r="O545" t="inlineStr">
        <is>
          <t>1997</t>
        </is>
      </c>
      <c r="Q545" t="inlineStr">
        <is>
          <t>spa</t>
        </is>
      </c>
      <c r="R545" t="inlineStr">
        <is>
          <t xml:space="preserve">sp </t>
        </is>
      </c>
      <c r="S545" t="inlineStr">
        <is>
          <t>Clásicos esenciales Santillana ; 18</t>
        </is>
      </c>
      <c r="T545" t="inlineStr">
        <is>
          <t xml:space="preserve">PQ </t>
        </is>
      </c>
      <c r="U545" t="n">
        <v>1</v>
      </c>
      <c r="V545" t="n">
        <v>1</v>
      </c>
      <c r="W545" t="inlineStr">
        <is>
          <t>2004-05-17</t>
        </is>
      </c>
      <c r="X545" t="inlineStr">
        <is>
          <t>2004-05-17</t>
        </is>
      </c>
      <c r="Y545" t="inlineStr">
        <is>
          <t>2004-05-17</t>
        </is>
      </c>
      <c r="Z545" t="inlineStr">
        <is>
          <t>2004-05-17</t>
        </is>
      </c>
      <c r="AA545" t="n">
        <v>34</v>
      </c>
      <c r="AB545" t="n">
        <v>34</v>
      </c>
      <c r="AC545" t="n">
        <v>81</v>
      </c>
      <c r="AD545" t="n">
        <v>1</v>
      </c>
      <c r="AE545" t="n">
        <v>1</v>
      </c>
      <c r="AF545" t="n">
        <v>1</v>
      </c>
      <c r="AG545" t="n">
        <v>1</v>
      </c>
      <c r="AH545" t="n">
        <v>1</v>
      </c>
      <c r="AI545" t="n">
        <v>1</v>
      </c>
      <c r="AJ545" t="n">
        <v>0</v>
      </c>
      <c r="AK545" t="n">
        <v>0</v>
      </c>
      <c r="AL545" t="n">
        <v>0</v>
      </c>
      <c r="AM545" t="n">
        <v>0</v>
      </c>
      <c r="AN545" t="n">
        <v>0</v>
      </c>
      <c r="AO545" t="n">
        <v>0</v>
      </c>
      <c r="AP545" t="n">
        <v>0</v>
      </c>
      <c r="AQ545" t="n">
        <v>0</v>
      </c>
      <c r="AR545" t="inlineStr">
        <is>
          <t>No</t>
        </is>
      </c>
      <c r="AS545" t="inlineStr">
        <is>
          <t>No</t>
        </is>
      </c>
      <c r="AU545">
        <f>HYPERLINK("https://creighton-primo.hosted.exlibrisgroup.com/primo-explore/search?tab=default_tab&amp;search_scope=EVERYTHING&amp;vid=01CRU&amp;lang=en_US&amp;offset=0&amp;query=any,contains,991004254949702656","Catalog Record")</f>
        <v/>
      </c>
      <c r="AV545">
        <f>HYPERLINK("http://www.worldcat.org/oclc/46327284","WorldCat Record")</f>
        <v/>
      </c>
      <c r="AW545" t="inlineStr">
        <is>
          <t>56164116:spa</t>
        </is>
      </c>
      <c r="AX545" t="inlineStr">
        <is>
          <t>46327284</t>
        </is>
      </c>
      <c r="AY545" t="inlineStr">
        <is>
          <t>991004254949702656</t>
        </is>
      </c>
      <c r="AZ545" t="inlineStr">
        <is>
          <t>991004254949702656</t>
        </is>
      </c>
      <c r="BA545" t="inlineStr">
        <is>
          <t>2258108270002656</t>
        </is>
      </c>
      <c r="BB545" t="inlineStr">
        <is>
          <t>BOOK</t>
        </is>
      </c>
      <c r="BD545" t="inlineStr">
        <is>
          <t>9788429451344</t>
        </is>
      </c>
      <c r="BE545" t="inlineStr">
        <is>
          <t>32285004906003</t>
        </is>
      </c>
      <c r="BF545" t="inlineStr">
        <is>
          <t>893624516</t>
        </is>
      </c>
    </row>
    <row r="546">
      <c r="A546" t="inlineStr">
        <is>
          <t>No</t>
        </is>
      </c>
      <c r="B546" t="inlineStr">
        <is>
          <t>CURAL</t>
        </is>
      </c>
      <c r="C546" t="inlineStr">
        <is>
          <t>SHELVES</t>
        </is>
      </c>
      <c r="D546" t="inlineStr">
        <is>
          <t>PQ6187 .G3 1999</t>
        </is>
      </c>
      <c r="E546" t="inlineStr">
        <is>
          <t>0                      PQ 6187000G  3           1999</t>
        </is>
      </c>
      <c r="F546" t="inlineStr">
        <is>
          <t>Antología del grupo poético de 1927, edición de Vicente Gaos; actualizada por Carlos Sahagún.</t>
        </is>
      </c>
      <c r="H546" t="inlineStr">
        <is>
          <t>No</t>
        </is>
      </c>
      <c r="I546" t="inlineStr">
        <is>
          <t>1</t>
        </is>
      </c>
      <c r="J546" t="inlineStr">
        <is>
          <t>No</t>
        </is>
      </c>
      <c r="K546" t="inlineStr">
        <is>
          <t>No</t>
        </is>
      </c>
      <c r="L546" t="inlineStr">
        <is>
          <t>0</t>
        </is>
      </c>
      <c r="M546" t="inlineStr">
        <is>
          <t>Gaos, Vicente, compiler.</t>
        </is>
      </c>
      <c r="N546" t="inlineStr">
        <is>
          <t>Madrid, Ediciones Cátedra, 1999.</t>
        </is>
      </c>
      <c r="O546" t="inlineStr">
        <is>
          <t>1999</t>
        </is>
      </c>
      <c r="P546" t="inlineStr">
        <is>
          <t>21. ed.</t>
        </is>
      </c>
      <c r="Q546" t="inlineStr">
        <is>
          <t>spa</t>
        </is>
      </c>
      <c r="R546" t="inlineStr">
        <is>
          <t xml:space="preserve">sp </t>
        </is>
      </c>
      <c r="S546" t="inlineStr">
        <is>
          <t>Letras hispánicas</t>
        </is>
      </c>
      <c r="T546" t="inlineStr">
        <is>
          <t xml:space="preserve">PQ </t>
        </is>
      </c>
      <c r="U546" t="n">
        <v>3</v>
      </c>
      <c r="V546" t="n">
        <v>3</v>
      </c>
      <c r="W546" t="inlineStr">
        <is>
          <t>2001-05-16</t>
        </is>
      </c>
      <c r="X546" t="inlineStr">
        <is>
          <t>2001-05-16</t>
        </is>
      </c>
      <c r="Y546" t="inlineStr">
        <is>
          <t>2001-04-11</t>
        </is>
      </c>
      <c r="Z546" t="inlineStr">
        <is>
          <t>2001-04-11</t>
        </is>
      </c>
      <c r="AA546" t="n">
        <v>8</v>
      </c>
      <c r="AB546" t="n">
        <v>6</v>
      </c>
      <c r="AC546" t="n">
        <v>152</v>
      </c>
      <c r="AD546" t="n">
        <v>1</v>
      </c>
      <c r="AE546" t="n">
        <v>2</v>
      </c>
      <c r="AF546" t="n">
        <v>0</v>
      </c>
      <c r="AG546" t="n">
        <v>8</v>
      </c>
      <c r="AH546" t="n">
        <v>0</v>
      </c>
      <c r="AI546" t="n">
        <v>3</v>
      </c>
      <c r="AJ546" t="n">
        <v>0</v>
      </c>
      <c r="AK546" t="n">
        <v>2</v>
      </c>
      <c r="AL546" t="n">
        <v>0</v>
      </c>
      <c r="AM546" t="n">
        <v>6</v>
      </c>
      <c r="AN546" t="n">
        <v>0</v>
      </c>
      <c r="AO546" t="n">
        <v>1</v>
      </c>
      <c r="AP546" t="n">
        <v>0</v>
      </c>
      <c r="AQ546" t="n">
        <v>0</v>
      </c>
      <c r="AR546" t="inlineStr">
        <is>
          <t>No</t>
        </is>
      </c>
      <c r="AS546" t="inlineStr">
        <is>
          <t>No</t>
        </is>
      </c>
      <c r="AU546">
        <f>HYPERLINK("https://creighton-primo.hosted.exlibrisgroup.com/primo-explore/search?tab=default_tab&amp;search_scope=EVERYTHING&amp;vid=01CRU&amp;lang=en_US&amp;offset=0&amp;query=any,contains,991003484169702656","Catalog Record")</f>
        <v/>
      </c>
      <c r="AV546">
        <f>HYPERLINK("http://www.worldcat.org/oclc/41062034","WorldCat Record")</f>
        <v/>
      </c>
      <c r="AW546" t="inlineStr">
        <is>
          <t>5584100460:spa</t>
        </is>
      </c>
      <c r="AX546" t="inlineStr">
        <is>
          <t>41062034</t>
        </is>
      </c>
      <c r="AY546" t="inlineStr">
        <is>
          <t>991003484169702656</t>
        </is>
      </c>
      <c r="AZ546" t="inlineStr">
        <is>
          <t>991003484169702656</t>
        </is>
      </c>
      <c r="BA546" t="inlineStr">
        <is>
          <t>2266245600002656</t>
        </is>
      </c>
      <c r="BB546" t="inlineStr">
        <is>
          <t>BOOK</t>
        </is>
      </c>
      <c r="BD546" t="inlineStr">
        <is>
          <t>9788437600536</t>
        </is>
      </c>
      <c r="BE546" t="inlineStr">
        <is>
          <t>32285004311980</t>
        </is>
      </c>
      <c r="BF546" t="inlineStr">
        <is>
          <t>893246395</t>
        </is>
      </c>
    </row>
    <row r="547">
      <c r="A547" t="inlineStr">
        <is>
          <t>No</t>
        </is>
      </c>
      <c r="B547" t="inlineStr">
        <is>
          <t>CURAL</t>
        </is>
      </c>
      <c r="C547" t="inlineStr">
        <is>
          <t>SHELVES</t>
        </is>
      </c>
      <c r="D547" t="inlineStr">
        <is>
          <t>PQ6187 .W75 1986</t>
        </is>
      </c>
      <c r="E547" t="inlineStr">
        <is>
          <t>0                      PQ 6187000W  75          1986</t>
        </is>
      </c>
      <c r="F547" t="inlineStr">
        <is>
          <t>The poetry of protest under Franco / Eleanor Wright.</t>
        </is>
      </c>
      <c r="H547" t="inlineStr">
        <is>
          <t>No</t>
        </is>
      </c>
      <c r="I547" t="inlineStr">
        <is>
          <t>1</t>
        </is>
      </c>
      <c r="J547" t="inlineStr">
        <is>
          <t>No</t>
        </is>
      </c>
      <c r="K547" t="inlineStr">
        <is>
          <t>No</t>
        </is>
      </c>
      <c r="L547" t="inlineStr">
        <is>
          <t>0</t>
        </is>
      </c>
      <c r="M547" t="inlineStr">
        <is>
          <t>Wright, Eleanor.</t>
        </is>
      </c>
      <c r="N547" t="inlineStr">
        <is>
          <t>London : Tamesis Books ; Dover, N.H., U.S.A. : Longwood Pub. Group, [distributor], U.S. and Canada, c1986.</t>
        </is>
      </c>
      <c r="O547" t="inlineStr">
        <is>
          <t>1986</t>
        </is>
      </c>
      <c r="Q547" t="inlineStr">
        <is>
          <t>eng</t>
        </is>
      </c>
      <c r="R547" t="inlineStr">
        <is>
          <t>enk</t>
        </is>
      </c>
      <c r="S547" t="inlineStr">
        <is>
          <t>Colección Támesis. Serie A, Monografías ; 89</t>
        </is>
      </c>
      <c r="T547" t="inlineStr">
        <is>
          <t xml:space="preserve">PQ </t>
        </is>
      </c>
      <c r="U547" t="n">
        <v>4</v>
      </c>
      <c r="V547" t="n">
        <v>4</v>
      </c>
      <c r="W547" t="inlineStr">
        <is>
          <t>1999-11-17</t>
        </is>
      </c>
      <c r="X547" t="inlineStr">
        <is>
          <t>1999-11-17</t>
        </is>
      </c>
      <c r="Y547" t="inlineStr">
        <is>
          <t>1992-01-28</t>
        </is>
      </c>
      <c r="Z547" t="inlineStr">
        <is>
          <t>1992-01-28</t>
        </is>
      </c>
      <c r="AA547" t="n">
        <v>255</v>
      </c>
      <c r="AB547" t="n">
        <v>185</v>
      </c>
      <c r="AC547" t="n">
        <v>192</v>
      </c>
      <c r="AD547" t="n">
        <v>2</v>
      </c>
      <c r="AE547" t="n">
        <v>2</v>
      </c>
      <c r="AF547" t="n">
        <v>11</v>
      </c>
      <c r="AG547" t="n">
        <v>11</v>
      </c>
      <c r="AH547" t="n">
        <v>3</v>
      </c>
      <c r="AI547" t="n">
        <v>3</v>
      </c>
      <c r="AJ547" t="n">
        <v>4</v>
      </c>
      <c r="AK547" t="n">
        <v>4</v>
      </c>
      <c r="AL547" t="n">
        <v>8</v>
      </c>
      <c r="AM547" t="n">
        <v>8</v>
      </c>
      <c r="AN547" t="n">
        <v>1</v>
      </c>
      <c r="AO547" t="n">
        <v>1</v>
      </c>
      <c r="AP547" t="n">
        <v>0</v>
      </c>
      <c r="AQ547" t="n">
        <v>0</v>
      </c>
      <c r="AR547" t="inlineStr">
        <is>
          <t>No</t>
        </is>
      </c>
      <c r="AS547" t="inlineStr">
        <is>
          <t>Yes</t>
        </is>
      </c>
      <c r="AT547">
        <f>HYPERLINK("http://catalog.hathitrust.org/Record/000437141","HathiTrust Record")</f>
        <v/>
      </c>
      <c r="AU547">
        <f>HYPERLINK("https://creighton-primo.hosted.exlibrisgroup.com/primo-explore/search?tab=default_tab&amp;search_scope=EVERYTHING&amp;vid=01CRU&amp;lang=en_US&amp;offset=0&amp;query=any,contains,991000929799702656","Catalog Record")</f>
        <v/>
      </c>
      <c r="AV547">
        <f>HYPERLINK("http://www.worldcat.org/oclc/14256490","WorldCat Record")</f>
        <v/>
      </c>
      <c r="AW547" t="inlineStr">
        <is>
          <t>8035641:eng</t>
        </is>
      </c>
      <c r="AX547" t="inlineStr">
        <is>
          <t>14256490</t>
        </is>
      </c>
      <c r="AY547" t="inlineStr">
        <is>
          <t>991000929799702656</t>
        </is>
      </c>
      <c r="AZ547" t="inlineStr">
        <is>
          <t>991000929799702656</t>
        </is>
      </c>
      <c r="BA547" t="inlineStr">
        <is>
          <t>2271473230002656</t>
        </is>
      </c>
      <c r="BB547" t="inlineStr">
        <is>
          <t>BOOK</t>
        </is>
      </c>
      <c r="BD547" t="inlineStr">
        <is>
          <t>9780729302104</t>
        </is>
      </c>
      <c r="BE547" t="inlineStr">
        <is>
          <t>32285000867282</t>
        </is>
      </c>
      <c r="BF547" t="inlineStr">
        <is>
          <t>893534360</t>
        </is>
      </c>
    </row>
    <row r="548">
      <c r="A548" t="inlineStr">
        <is>
          <t>No</t>
        </is>
      </c>
      <c r="B548" t="inlineStr">
        <is>
          <t>CURAL</t>
        </is>
      </c>
      <c r="C548" t="inlineStr">
        <is>
          <t>SHELVES</t>
        </is>
      </c>
      <c r="D548" t="inlineStr">
        <is>
          <t>PQ6192 .P64 1991</t>
        </is>
      </c>
      <c r="E548" t="inlineStr">
        <is>
          <t>0                      PQ 6192000P  64          1991</t>
        </is>
      </c>
      <c r="F548" t="inlineStr">
        <is>
          <t>Poesías del Maestro León y de Fr. Melchor de la Serna y otros (S. XVI) : códice número 961 de la Biblioteca Real de Madrid / edición de C. Ángel Zorita, Ralph A. DiFranco, José J. Labrador Herraiz ; prólogo de Dietrich Briesemeister.</t>
        </is>
      </c>
      <c r="H548" t="inlineStr">
        <is>
          <t>No</t>
        </is>
      </c>
      <c r="I548" t="inlineStr">
        <is>
          <t>1</t>
        </is>
      </c>
      <c r="J548" t="inlineStr">
        <is>
          <t>No</t>
        </is>
      </c>
      <c r="K548" t="inlineStr">
        <is>
          <t>No</t>
        </is>
      </c>
      <c r="L548" t="inlineStr">
        <is>
          <t>0</t>
        </is>
      </c>
      <c r="N548" t="inlineStr">
        <is>
          <t>Cleveland : Cleveland State University, 1991.</t>
        </is>
      </c>
      <c r="O548" t="inlineStr">
        <is>
          <t>1991</t>
        </is>
      </c>
      <c r="Q548" t="inlineStr">
        <is>
          <t>spa</t>
        </is>
      </c>
      <c r="R548" t="inlineStr">
        <is>
          <t>ohu</t>
        </is>
      </c>
      <c r="S548" t="inlineStr">
        <is>
          <t>Colección Cancioneros castellanos ; v. 4</t>
        </is>
      </c>
      <c r="T548" t="inlineStr">
        <is>
          <t xml:space="preserve">PQ </t>
        </is>
      </c>
      <c r="U548" t="n">
        <v>1</v>
      </c>
      <c r="V548" t="n">
        <v>1</v>
      </c>
      <c r="W548" t="inlineStr">
        <is>
          <t>2005-03-02</t>
        </is>
      </c>
      <c r="X548" t="inlineStr">
        <is>
          <t>2005-03-02</t>
        </is>
      </c>
      <c r="Y548" t="inlineStr">
        <is>
          <t>2005-03-02</t>
        </is>
      </c>
      <c r="Z548" t="inlineStr">
        <is>
          <t>2005-03-02</t>
        </is>
      </c>
      <c r="AA548" t="n">
        <v>54</v>
      </c>
      <c r="AB548" t="n">
        <v>45</v>
      </c>
      <c r="AC548" t="n">
        <v>47</v>
      </c>
      <c r="AD548" t="n">
        <v>1</v>
      </c>
      <c r="AE548" t="n">
        <v>1</v>
      </c>
      <c r="AF548" t="n">
        <v>3</v>
      </c>
      <c r="AG548" t="n">
        <v>3</v>
      </c>
      <c r="AH548" t="n">
        <v>0</v>
      </c>
      <c r="AI548" t="n">
        <v>0</v>
      </c>
      <c r="AJ548" t="n">
        <v>2</v>
      </c>
      <c r="AK548" t="n">
        <v>2</v>
      </c>
      <c r="AL548" t="n">
        <v>2</v>
      </c>
      <c r="AM548" t="n">
        <v>2</v>
      </c>
      <c r="AN548" t="n">
        <v>0</v>
      </c>
      <c r="AO548" t="n">
        <v>0</v>
      </c>
      <c r="AP548" t="n">
        <v>0</v>
      </c>
      <c r="AQ548" t="n">
        <v>0</v>
      </c>
      <c r="AR548" t="inlineStr">
        <is>
          <t>No</t>
        </is>
      </c>
      <c r="AS548" t="inlineStr">
        <is>
          <t>Yes</t>
        </is>
      </c>
      <c r="AT548">
        <f>HYPERLINK("http://catalog.hathitrust.org/Record/002986994","HathiTrust Record")</f>
        <v/>
      </c>
      <c r="AU548">
        <f>HYPERLINK("https://creighton-primo.hosted.exlibrisgroup.com/primo-explore/search?tab=default_tab&amp;search_scope=EVERYTHING&amp;vid=01CRU&amp;lang=en_US&amp;offset=0&amp;query=any,contains,991004489819702656","Catalog Record")</f>
        <v/>
      </c>
      <c r="AV548">
        <f>HYPERLINK("http://www.worldcat.org/oclc/28159252","WorldCat Record")</f>
        <v/>
      </c>
      <c r="AW548" t="inlineStr">
        <is>
          <t>319830274:spa</t>
        </is>
      </c>
      <c r="AX548" t="inlineStr">
        <is>
          <t>28159252</t>
        </is>
      </c>
      <c r="AY548" t="inlineStr">
        <is>
          <t>991004489819702656</t>
        </is>
      </c>
      <c r="AZ548" t="inlineStr">
        <is>
          <t>991004489819702656</t>
        </is>
      </c>
      <c r="BA548" t="inlineStr">
        <is>
          <t>2258569850002656</t>
        </is>
      </c>
      <c r="BB548" t="inlineStr">
        <is>
          <t>BOOK</t>
        </is>
      </c>
      <c r="BD548" t="inlineStr">
        <is>
          <t>9780961305567</t>
        </is>
      </c>
      <c r="BE548" t="inlineStr">
        <is>
          <t>32285005028682</t>
        </is>
      </c>
      <c r="BF548" t="inlineStr">
        <is>
          <t>893618725</t>
        </is>
      </c>
    </row>
    <row r="549">
      <c r="A549" t="inlineStr">
        <is>
          <t>No</t>
        </is>
      </c>
      <c r="B549" t="inlineStr">
        <is>
          <t>CURAL</t>
        </is>
      </c>
      <c r="C549" t="inlineStr">
        <is>
          <t>SHELVES</t>
        </is>
      </c>
      <c r="D549" t="inlineStr">
        <is>
          <t>PQ6196 .M36 1973</t>
        </is>
      </c>
      <c r="E549" t="inlineStr">
        <is>
          <t>0                      PQ 6196000M  36          1973</t>
        </is>
      </c>
      <c r="F549" t="inlineStr">
        <is>
          <t>Romancero / Selección hecha por G. Menéndez Pidal; dibujos de A. Ruiz Castillo.</t>
        </is>
      </c>
      <c r="H549" t="inlineStr">
        <is>
          <t>No</t>
        </is>
      </c>
      <c r="I549" t="inlineStr">
        <is>
          <t>1</t>
        </is>
      </c>
      <c r="J549" t="inlineStr">
        <is>
          <t>No</t>
        </is>
      </c>
      <c r="K549" t="inlineStr">
        <is>
          <t>No</t>
        </is>
      </c>
      <c r="L549" t="inlineStr">
        <is>
          <t>0</t>
        </is>
      </c>
      <c r="M549" t="inlineStr">
        <is>
          <t>Menéndez Pidal, Gonzalo editor.</t>
        </is>
      </c>
      <c r="N549" t="inlineStr">
        <is>
          <t>Madrid : Consejo Superior de Investigaciones Científicas, 1973.</t>
        </is>
      </c>
      <c r="O549" t="inlineStr">
        <is>
          <t>1973</t>
        </is>
      </c>
      <c r="P549" t="inlineStr">
        <is>
          <t>Reimpresión de la segunda edición.</t>
        </is>
      </c>
      <c r="Q549" t="inlineStr">
        <is>
          <t>spa</t>
        </is>
      </c>
      <c r="R549" t="inlineStr">
        <is>
          <t xml:space="preserve">sp </t>
        </is>
      </c>
      <c r="S549" t="inlineStr">
        <is>
          <t>Biblioteca literaria del estudiante, fundada por Ramón Menéndez Pidal ; 25</t>
        </is>
      </c>
      <c r="T549" t="inlineStr">
        <is>
          <t xml:space="preserve">PQ </t>
        </is>
      </c>
      <c r="U549" t="n">
        <v>1</v>
      </c>
      <c r="V549" t="n">
        <v>1</v>
      </c>
      <c r="W549" t="inlineStr">
        <is>
          <t>2005-04-06</t>
        </is>
      </c>
      <c r="X549" t="inlineStr">
        <is>
          <t>2005-04-06</t>
        </is>
      </c>
      <c r="Y549" t="inlineStr">
        <is>
          <t>2005-04-06</t>
        </is>
      </c>
      <c r="Z549" t="inlineStr">
        <is>
          <t>2005-04-06</t>
        </is>
      </c>
      <c r="AA549" t="n">
        <v>28</v>
      </c>
      <c r="AB549" t="n">
        <v>18</v>
      </c>
      <c r="AC549" t="n">
        <v>71</v>
      </c>
      <c r="AD549" t="n">
        <v>1</v>
      </c>
      <c r="AE549" t="n">
        <v>1</v>
      </c>
      <c r="AF549" t="n">
        <v>0</v>
      </c>
      <c r="AG549" t="n">
        <v>3</v>
      </c>
      <c r="AH549" t="n">
        <v>0</v>
      </c>
      <c r="AI549" t="n">
        <v>1</v>
      </c>
      <c r="AJ549" t="n">
        <v>0</v>
      </c>
      <c r="AK549" t="n">
        <v>0</v>
      </c>
      <c r="AL549" t="n">
        <v>0</v>
      </c>
      <c r="AM549" t="n">
        <v>2</v>
      </c>
      <c r="AN549" t="n">
        <v>0</v>
      </c>
      <c r="AO549" t="n">
        <v>0</v>
      </c>
      <c r="AP549" t="n">
        <v>0</v>
      </c>
      <c r="AQ549" t="n">
        <v>0</v>
      </c>
      <c r="AR549" t="inlineStr">
        <is>
          <t>No</t>
        </is>
      </c>
      <c r="AS549" t="inlineStr">
        <is>
          <t>No</t>
        </is>
      </c>
      <c r="AU549">
        <f>HYPERLINK("https://creighton-primo.hosted.exlibrisgroup.com/primo-explore/search?tab=default_tab&amp;search_scope=EVERYTHING&amp;vid=01CRU&amp;lang=en_US&amp;offset=0&amp;query=any,contains,991004523629702656","Catalog Record")</f>
        <v/>
      </c>
      <c r="AV549">
        <f>HYPERLINK("http://www.worldcat.org/oclc/2573059","WorldCat Record")</f>
        <v/>
      </c>
      <c r="AW549" t="inlineStr">
        <is>
          <t>3275025:spa</t>
        </is>
      </c>
      <c r="AX549" t="inlineStr">
        <is>
          <t>2573059</t>
        </is>
      </c>
      <c r="AY549" t="inlineStr">
        <is>
          <t>991004523629702656</t>
        </is>
      </c>
      <c r="AZ549" t="inlineStr">
        <is>
          <t>991004523629702656</t>
        </is>
      </c>
      <c r="BA549" t="inlineStr">
        <is>
          <t>2263499710002656</t>
        </is>
      </c>
      <c r="BB549" t="inlineStr">
        <is>
          <t>BOOK</t>
        </is>
      </c>
      <c r="BE549" t="inlineStr">
        <is>
          <t>32285005048425</t>
        </is>
      </c>
      <c r="BF549" t="inlineStr">
        <is>
          <t>893788802</t>
        </is>
      </c>
    </row>
    <row r="550">
      <c r="A550" t="inlineStr">
        <is>
          <t>No</t>
        </is>
      </c>
      <c r="B550" t="inlineStr">
        <is>
          <t>CURAL</t>
        </is>
      </c>
      <c r="C550" t="inlineStr">
        <is>
          <t>SHELVES</t>
        </is>
      </c>
      <c r="D550" t="inlineStr">
        <is>
          <t>PQ6198.A4 R6 1982</t>
        </is>
      </c>
      <c r="E550" t="inlineStr">
        <is>
          <t>0                      PQ 6198000A  4                  R  6           1982</t>
        </is>
      </c>
      <c r="F550" t="inlineStr">
        <is>
          <t>Romance del rey don Alonso que ganó a Toledo ; ed. facsímil con trascrición y estudio / Joaquín González Cuenca.</t>
        </is>
      </c>
      <c r="H550" t="inlineStr">
        <is>
          <t>No</t>
        </is>
      </c>
      <c r="I550" t="inlineStr">
        <is>
          <t>1</t>
        </is>
      </c>
      <c r="J550" t="inlineStr">
        <is>
          <t>No</t>
        </is>
      </c>
      <c r="K550" t="inlineStr">
        <is>
          <t>No</t>
        </is>
      </c>
      <c r="L550" t="inlineStr">
        <is>
          <t>0</t>
        </is>
      </c>
      <c r="O550" t="inlineStr">
        <is>
          <t>1982</t>
        </is>
      </c>
      <c r="Q550" t="inlineStr">
        <is>
          <t>spa</t>
        </is>
      </c>
      <c r="R550" t="inlineStr">
        <is>
          <t xml:space="preserve">sp </t>
        </is>
      </c>
      <c r="S550" t="inlineStr">
        <is>
          <t>Facsímiles toledanos ; 2</t>
        </is>
      </c>
      <c r="T550" t="inlineStr">
        <is>
          <t xml:space="preserve">PQ </t>
        </is>
      </c>
      <c r="U550" t="n">
        <v>1</v>
      </c>
      <c r="V550" t="n">
        <v>1</v>
      </c>
      <c r="W550" t="inlineStr">
        <is>
          <t>1998-10-28</t>
        </is>
      </c>
      <c r="X550" t="inlineStr">
        <is>
          <t>1998-10-28</t>
        </is>
      </c>
      <c r="Y550" t="inlineStr">
        <is>
          <t>1991-06-06</t>
        </is>
      </c>
      <c r="Z550" t="inlineStr">
        <is>
          <t>1991-06-06</t>
        </is>
      </c>
      <c r="AA550" t="n">
        <v>12</v>
      </c>
      <c r="AB550" t="n">
        <v>12</v>
      </c>
      <c r="AC550" t="n">
        <v>12</v>
      </c>
      <c r="AD550" t="n">
        <v>1</v>
      </c>
      <c r="AE550" t="n">
        <v>1</v>
      </c>
      <c r="AF550" t="n">
        <v>2</v>
      </c>
      <c r="AG550" t="n">
        <v>2</v>
      </c>
      <c r="AH550" t="n">
        <v>0</v>
      </c>
      <c r="AI550" t="n">
        <v>0</v>
      </c>
      <c r="AJ550" t="n">
        <v>1</v>
      </c>
      <c r="AK550" t="n">
        <v>1</v>
      </c>
      <c r="AL550" t="n">
        <v>1</v>
      </c>
      <c r="AM550" t="n">
        <v>1</v>
      </c>
      <c r="AN550" t="n">
        <v>0</v>
      </c>
      <c r="AO550" t="n">
        <v>0</v>
      </c>
      <c r="AP550" t="n">
        <v>0</v>
      </c>
      <c r="AQ550" t="n">
        <v>0</v>
      </c>
      <c r="AR550" t="inlineStr">
        <is>
          <t>No</t>
        </is>
      </c>
      <c r="AS550" t="inlineStr">
        <is>
          <t>No</t>
        </is>
      </c>
      <c r="AU550">
        <f>HYPERLINK("https://creighton-primo.hosted.exlibrisgroup.com/primo-explore/search?tab=default_tab&amp;search_scope=EVERYTHING&amp;vid=01CRU&amp;lang=en_US&amp;offset=0&amp;query=any,contains,991000325729702656","Catalog Record")</f>
        <v/>
      </c>
      <c r="AV550">
        <f>HYPERLINK("http://www.worldcat.org/oclc/10169915","WorldCat Record")</f>
        <v/>
      </c>
      <c r="AW550" t="inlineStr">
        <is>
          <t>3901040748:spa</t>
        </is>
      </c>
      <c r="AX550" t="inlineStr">
        <is>
          <t>10169915</t>
        </is>
      </c>
      <c r="AY550" t="inlineStr">
        <is>
          <t>991000325729702656</t>
        </is>
      </c>
      <c r="AZ550" t="inlineStr">
        <is>
          <t>991000325729702656</t>
        </is>
      </c>
      <c r="BA550" t="inlineStr">
        <is>
          <t>2260578350002656</t>
        </is>
      </c>
      <c r="BB550" t="inlineStr">
        <is>
          <t>BOOK</t>
        </is>
      </c>
      <c r="BD550" t="inlineStr">
        <is>
          <t>9788400052034</t>
        </is>
      </c>
      <c r="BE550" t="inlineStr">
        <is>
          <t>32285000599240</t>
        </is>
      </c>
      <c r="BF550" t="inlineStr">
        <is>
          <t>893521575</t>
        </is>
      </c>
    </row>
    <row r="551">
      <c r="A551" t="inlineStr">
        <is>
          <t>No</t>
        </is>
      </c>
      <c r="B551" t="inlineStr">
        <is>
          <t>CURAL</t>
        </is>
      </c>
      <c r="C551" t="inlineStr">
        <is>
          <t>SHELVES</t>
        </is>
      </c>
      <c r="D551" t="inlineStr">
        <is>
          <t>PQ6217 .A7</t>
        </is>
      </c>
      <c r="E551" t="inlineStr">
        <is>
          <t>0                      PQ 6217000A  7</t>
        </is>
      </c>
      <c r="F551" t="inlineStr">
        <is>
          <t>Diez comedias del siglo de oro; an annotated omnibus of ten complete plays by the most representative Spanish dramatists of the golden age, edited by Hymen Alpern ... and José Martel ...</t>
        </is>
      </c>
      <c r="H551" t="inlineStr">
        <is>
          <t>No</t>
        </is>
      </c>
      <c r="I551" t="inlineStr">
        <is>
          <t>1</t>
        </is>
      </c>
      <c r="J551" t="inlineStr">
        <is>
          <t>No</t>
        </is>
      </c>
      <c r="K551" t="inlineStr">
        <is>
          <t>No</t>
        </is>
      </c>
      <c r="L551" t="inlineStr">
        <is>
          <t>0</t>
        </is>
      </c>
      <c r="M551" t="inlineStr">
        <is>
          <t>Alpern, Hymen, 1895-1967, editor.</t>
        </is>
      </c>
      <c r="N551" t="inlineStr">
        <is>
          <t>New York, London, Harper &amp; brothers [c1939]</t>
        </is>
      </c>
      <c r="O551" t="inlineStr">
        <is>
          <t>1939</t>
        </is>
      </c>
      <c r="P551" t="inlineStr">
        <is>
          <t>"First edition."</t>
        </is>
      </c>
      <c r="Q551" t="inlineStr">
        <is>
          <t>spa</t>
        </is>
      </c>
      <c r="R551" t="inlineStr">
        <is>
          <t>nyu</t>
        </is>
      </c>
      <c r="T551" t="inlineStr">
        <is>
          <t xml:space="preserve">PQ </t>
        </is>
      </c>
      <c r="U551" t="n">
        <v>1</v>
      </c>
      <c r="V551" t="n">
        <v>1</v>
      </c>
      <c r="W551" t="inlineStr">
        <is>
          <t>1998-10-28</t>
        </is>
      </c>
      <c r="X551" t="inlineStr">
        <is>
          <t>1998-10-28</t>
        </is>
      </c>
      <c r="Y551" t="inlineStr">
        <is>
          <t>1997-07-01</t>
        </is>
      </c>
      <c r="Z551" t="inlineStr">
        <is>
          <t>1997-07-01</t>
        </is>
      </c>
      <c r="AA551" t="n">
        <v>645</v>
      </c>
      <c r="AB551" t="n">
        <v>623</v>
      </c>
      <c r="AC551" t="n">
        <v>657</v>
      </c>
      <c r="AD551" t="n">
        <v>5</v>
      </c>
      <c r="AE551" t="n">
        <v>5</v>
      </c>
      <c r="AF551" t="n">
        <v>29</v>
      </c>
      <c r="AG551" t="n">
        <v>30</v>
      </c>
      <c r="AH551" t="n">
        <v>11</v>
      </c>
      <c r="AI551" t="n">
        <v>12</v>
      </c>
      <c r="AJ551" t="n">
        <v>5</v>
      </c>
      <c r="AK551" t="n">
        <v>5</v>
      </c>
      <c r="AL551" t="n">
        <v>15</v>
      </c>
      <c r="AM551" t="n">
        <v>15</v>
      </c>
      <c r="AN551" t="n">
        <v>4</v>
      </c>
      <c r="AO551" t="n">
        <v>4</v>
      </c>
      <c r="AP551" t="n">
        <v>0</v>
      </c>
      <c r="AQ551" t="n">
        <v>0</v>
      </c>
      <c r="AR551" t="inlineStr">
        <is>
          <t>No</t>
        </is>
      </c>
      <c r="AS551" t="inlineStr">
        <is>
          <t>Yes</t>
        </is>
      </c>
      <c r="AT551">
        <f>HYPERLINK("http://catalog.hathitrust.org/Record/001220647","HathiTrust Record")</f>
        <v/>
      </c>
      <c r="AU551">
        <f>HYPERLINK("https://creighton-primo.hosted.exlibrisgroup.com/primo-explore/search?tab=default_tab&amp;search_scope=EVERYTHING&amp;vid=01CRU&amp;lang=en_US&amp;offset=0&amp;query=any,contains,991005038619702656","Catalog Record")</f>
        <v/>
      </c>
      <c r="AV551">
        <f>HYPERLINK("http://www.worldcat.org/oclc/6775984","WorldCat Record")</f>
        <v/>
      </c>
      <c r="AW551" t="inlineStr">
        <is>
          <t>911981748:spa</t>
        </is>
      </c>
      <c r="AX551" t="inlineStr">
        <is>
          <t>6775984</t>
        </is>
      </c>
      <c r="AY551" t="inlineStr">
        <is>
          <t>991005038619702656</t>
        </is>
      </c>
      <c r="AZ551" t="inlineStr">
        <is>
          <t>991005038619702656</t>
        </is>
      </c>
      <c r="BA551" t="inlineStr">
        <is>
          <t>2264063540002656</t>
        </is>
      </c>
      <c r="BB551" t="inlineStr">
        <is>
          <t>BOOK</t>
        </is>
      </c>
      <c r="BE551" t="inlineStr">
        <is>
          <t>32285002517562</t>
        </is>
      </c>
      <c r="BF551" t="inlineStr">
        <is>
          <t>893501227</t>
        </is>
      </c>
    </row>
    <row r="552">
      <c r="A552" t="inlineStr">
        <is>
          <t>No</t>
        </is>
      </c>
      <c r="B552" t="inlineStr">
        <is>
          <t>CURAL</t>
        </is>
      </c>
      <c r="C552" t="inlineStr">
        <is>
          <t>SHELVES</t>
        </is>
      </c>
      <c r="D552" t="inlineStr">
        <is>
          <t>PQ6217 .F56 1968</t>
        </is>
      </c>
      <c r="E552" t="inlineStr">
        <is>
          <t>0                      PQ 6217000F  56          1968</t>
        </is>
      </c>
      <c r="F552" t="inlineStr">
        <is>
          <t>Spanish drama / edited and with an introd. by Angel Flores ; with a critical essay by John Gassner.</t>
        </is>
      </c>
      <c r="H552" t="inlineStr">
        <is>
          <t>No</t>
        </is>
      </c>
      <c r="I552" t="inlineStr">
        <is>
          <t>1</t>
        </is>
      </c>
      <c r="J552" t="inlineStr">
        <is>
          <t>No</t>
        </is>
      </c>
      <c r="K552" t="inlineStr">
        <is>
          <t>No</t>
        </is>
      </c>
      <c r="L552" t="inlineStr">
        <is>
          <t>0</t>
        </is>
      </c>
      <c r="N552" t="inlineStr">
        <is>
          <t>New York : Bantam Books, 1968, c1962.</t>
        </is>
      </c>
      <c r="O552" t="inlineStr">
        <is>
          <t>1968</t>
        </is>
      </c>
      <c r="Q552" t="inlineStr">
        <is>
          <t>eng</t>
        </is>
      </c>
      <c r="R552" t="inlineStr">
        <is>
          <t>nyu</t>
        </is>
      </c>
      <c r="S552" t="inlineStr">
        <is>
          <t>Bantam world drama ; QT4128</t>
        </is>
      </c>
      <c r="T552" t="inlineStr">
        <is>
          <t xml:space="preserve">PQ </t>
        </is>
      </c>
      <c r="U552" t="n">
        <v>7</v>
      </c>
      <c r="V552" t="n">
        <v>7</v>
      </c>
      <c r="W552" t="inlineStr">
        <is>
          <t>2002-04-23</t>
        </is>
      </c>
      <c r="X552" t="inlineStr">
        <is>
          <t>2002-04-23</t>
        </is>
      </c>
      <c r="Y552" t="inlineStr">
        <is>
          <t>1994-04-20</t>
        </is>
      </c>
      <c r="Z552" t="inlineStr">
        <is>
          <t>1994-04-20</t>
        </is>
      </c>
      <c r="AA552" t="n">
        <v>80</v>
      </c>
      <c r="AB552" t="n">
        <v>63</v>
      </c>
      <c r="AC552" t="n">
        <v>444</v>
      </c>
      <c r="AD552" t="n">
        <v>1</v>
      </c>
      <c r="AE552" t="n">
        <v>4</v>
      </c>
      <c r="AF552" t="n">
        <v>1</v>
      </c>
      <c r="AG552" t="n">
        <v>19</v>
      </c>
      <c r="AH552" t="n">
        <v>1</v>
      </c>
      <c r="AI552" t="n">
        <v>6</v>
      </c>
      <c r="AJ552" t="n">
        <v>0</v>
      </c>
      <c r="AK552" t="n">
        <v>4</v>
      </c>
      <c r="AL552" t="n">
        <v>0</v>
      </c>
      <c r="AM552" t="n">
        <v>10</v>
      </c>
      <c r="AN552" t="n">
        <v>0</v>
      </c>
      <c r="AO552" t="n">
        <v>3</v>
      </c>
      <c r="AP552" t="n">
        <v>0</v>
      </c>
      <c r="AQ552" t="n">
        <v>0</v>
      </c>
      <c r="AR552" t="inlineStr">
        <is>
          <t>No</t>
        </is>
      </c>
      <c r="AS552" t="inlineStr">
        <is>
          <t>No</t>
        </is>
      </c>
      <c r="AU552">
        <f>HYPERLINK("https://creighton-primo.hosted.exlibrisgroup.com/primo-explore/search?tab=default_tab&amp;search_scope=EVERYTHING&amp;vid=01CRU&amp;lang=en_US&amp;offset=0&amp;query=any,contains,991004485059702656","Catalog Record")</f>
        <v/>
      </c>
      <c r="AV552">
        <f>HYPERLINK("http://www.worldcat.org/oclc/3637703","WorldCat Record")</f>
        <v/>
      </c>
      <c r="AW552" t="inlineStr">
        <is>
          <t>2219945:eng</t>
        </is>
      </c>
      <c r="AX552" t="inlineStr">
        <is>
          <t>3637703</t>
        </is>
      </c>
      <c r="AY552" t="inlineStr">
        <is>
          <t>991004485059702656</t>
        </is>
      </c>
      <c r="AZ552" t="inlineStr">
        <is>
          <t>991004485059702656</t>
        </is>
      </c>
      <c r="BA552" t="inlineStr">
        <is>
          <t>2271703020002656</t>
        </is>
      </c>
      <c r="BB552" t="inlineStr">
        <is>
          <t>BOOK</t>
        </is>
      </c>
      <c r="BE552" t="inlineStr">
        <is>
          <t>32285001889939</t>
        </is>
      </c>
      <c r="BF552" t="inlineStr">
        <is>
          <t>893869762</t>
        </is>
      </c>
    </row>
    <row r="553">
      <c r="A553" t="inlineStr">
        <is>
          <t>No</t>
        </is>
      </c>
      <c r="B553" t="inlineStr">
        <is>
          <t>CURAL</t>
        </is>
      </c>
      <c r="C553" t="inlineStr">
        <is>
          <t>SHELVES</t>
        </is>
      </c>
      <c r="D553" t="inlineStr">
        <is>
          <t>PQ6227 .B4</t>
        </is>
      </c>
      <c r="E553" t="inlineStr">
        <is>
          <t>0                      PQ 6227000B  4</t>
        </is>
      </c>
      <c r="F553" t="inlineStr">
        <is>
          <t>Modern Spanish theatre; an anthology of plays, edited by Michael Benedikt and George E. Wellwarth.</t>
        </is>
      </c>
      <c r="H553" t="inlineStr">
        <is>
          <t>No</t>
        </is>
      </c>
      <c r="I553" t="inlineStr">
        <is>
          <t>1</t>
        </is>
      </c>
      <c r="J553" t="inlineStr">
        <is>
          <t>No</t>
        </is>
      </c>
      <c r="K553" t="inlineStr">
        <is>
          <t>No</t>
        </is>
      </c>
      <c r="L553" t="inlineStr">
        <is>
          <t>0</t>
        </is>
      </c>
      <c r="M553" t="inlineStr">
        <is>
          <t>Benedikt, Michael, 1935-2007, compiler.</t>
        </is>
      </c>
      <c r="N553" t="inlineStr">
        <is>
          <t>New York, Dutton, 1968.</t>
        </is>
      </c>
      <c r="O553" t="inlineStr">
        <is>
          <t>1968</t>
        </is>
      </c>
      <c r="P553" t="inlineStr">
        <is>
          <t>[1st ed.]</t>
        </is>
      </c>
      <c r="Q553" t="inlineStr">
        <is>
          <t>eng</t>
        </is>
      </c>
      <c r="R553" t="inlineStr">
        <is>
          <t>nyu</t>
        </is>
      </c>
      <c r="T553" t="inlineStr">
        <is>
          <t xml:space="preserve">PQ </t>
        </is>
      </c>
      <c r="U553" t="n">
        <v>3</v>
      </c>
      <c r="V553" t="n">
        <v>3</v>
      </c>
      <c r="W553" t="inlineStr">
        <is>
          <t>1997-10-17</t>
        </is>
      </c>
      <c r="X553" t="inlineStr">
        <is>
          <t>1997-10-17</t>
        </is>
      </c>
      <c r="Y553" t="inlineStr">
        <is>
          <t>1997-07-01</t>
        </is>
      </c>
      <c r="Z553" t="inlineStr">
        <is>
          <t>1997-07-01</t>
        </is>
      </c>
      <c r="AA553" t="n">
        <v>871</v>
      </c>
      <c r="AB553" t="n">
        <v>812</v>
      </c>
      <c r="AC553" t="n">
        <v>892</v>
      </c>
      <c r="AD553" t="n">
        <v>4</v>
      </c>
      <c r="AE553" t="n">
        <v>4</v>
      </c>
      <c r="AF553" t="n">
        <v>25</v>
      </c>
      <c r="AG553" t="n">
        <v>31</v>
      </c>
      <c r="AH553" t="n">
        <v>9</v>
      </c>
      <c r="AI553" t="n">
        <v>12</v>
      </c>
      <c r="AJ553" t="n">
        <v>6</v>
      </c>
      <c r="AK553" t="n">
        <v>8</v>
      </c>
      <c r="AL553" t="n">
        <v>14</v>
      </c>
      <c r="AM553" t="n">
        <v>17</v>
      </c>
      <c r="AN553" t="n">
        <v>2</v>
      </c>
      <c r="AO553" t="n">
        <v>2</v>
      </c>
      <c r="AP553" t="n">
        <v>0</v>
      </c>
      <c r="AQ553" t="n">
        <v>0</v>
      </c>
      <c r="AR553" t="inlineStr">
        <is>
          <t>No</t>
        </is>
      </c>
      <c r="AS553" t="inlineStr">
        <is>
          <t>Yes</t>
        </is>
      </c>
      <c r="AT553">
        <f>HYPERLINK("http://catalog.hathitrust.org/Record/001220666","HathiTrust Record")</f>
        <v/>
      </c>
      <c r="AU553">
        <f>HYPERLINK("https://creighton-primo.hosted.exlibrisgroup.com/primo-explore/search?tab=default_tab&amp;search_scope=EVERYTHING&amp;vid=01CRU&amp;lang=en_US&amp;offset=0&amp;query=any,contains,991003533599702656","Catalog Record")</f>
        <v/>
      </c>
      <c r="AV553">
        <f>HYPERLINK("http://www.worldcat.org/oclc/1096445","WorldCat Record")</f>
        <v/>
      </c>
      <c r="AW553" t="inlineStr">
        <is>
          <t>793821261:eng</t>
        </is>
      </c>
      <c r="AX553" t="inlineStr">
        <is>
          <t>1096445</t>
        </is>
      </c>
      <c r="AY553" t="inlineStr">
        <is>
          <t>991003533599702656</t>
        </is>
      </c>
      <c r="AZ553" t="inlineStr">
        <is>
          <t>991003533599702656</t>
        </is>
      </c>
      <c r="BA553" t="inlineStr">
        <is>
          <t>2268551400002656</t>
        </is>
      </c>
      <c r="BB553" t="inlineStr">
        <is>
          <t>BOOK</t>
        </is>
      </c>
      <c r="BE553" t="inlineStr">
        <is>
          <t>32285002517687</t>
        </is>
      </c>
      <c r="BF553" t="inlineStr">
        <is>
          <t>893518577</t>
        </is>
      </c>
    </row>
    <row r="554">
      <c r="A554" t="inlineStr">
        <is>
          <t>No</t>
        </is>
      </c>
      <c r="B554" t="inlineStr">
        <is>
          <t>CURAL</t>
        </is>
      </c>
      <c r="C554" t="inlineStr">
        <is>
          <t>SHELVES</t>
        </is>
      </c>
      <c r="D554" t="inlineStr">
        <is>
          <t>PQ6239.E6 A57 2003</t>
        </is>
      </c>
      <c r="E554" t="inlineStr">
        <is>
          <t>0                      PQ 6239000E  6                  A  57          2003</t>
        </is>
      </c>
      <c r="F554" t="inlineStr">
        <is>
          <t>Antologaia del entremaes barroco / ediciaon de Celsa Carmen Garcaia Valdaes.</t>
        </is>
      </c>
      <c r="H554" t="inlineStr">
        <is>
          <t>No</t>
        </is>
      </c>
      <c r="I554" t="inlineStr">
        <is>
          <t>1</t>
        </is>
      </c>
      <c r="J554" t="inlineStr">
        <is>
          <t>No</t>
        </is>
      </c>
      <c r="K554" t="inlineStr">
        <is>
          <t>No</t>
        </is>
      </c>
      <c r="L554" t="inlineStr">
        <is>
          <t>0</t>
        </is>
      </c>
      <c r="N554" t="inlineStr">
        <is>
          <t>Madrid : Ediciones Libertarias, 2003.</t>
        </is>
      </c>
      <c r="O554" t="inlineStr">
        <is>
          <t>2003</t>
        </is>
      </c>
      <c r="P554" t="inlineStr">
        <is>
          <t>1. ed.</t>
        </is>
      </c>
      <c r="Q554" t="inlineStr">
        <is>
          <t>spa</t>
        </is>
      </c>
      <c r="R554" t="inlineStr">
        <is>
          <t xml:space="preserve">sp </t>
        </is>
      </c>
      <c r="S554" t="inlineStr">
        <is>
          <t>Claasicos Libertarias ; 36</t>
        </is>
      </c>
      <c r="T554" t="inlineStr">
        <is>
          <t xml:space="preserve">PQ </t>
        </is>
      </c>
      <c r="U554" t="n">
        <v>1</v>
      </c>
      <c r="V554" t="n">
        <v>1</v>
      </c>
      <c r="W554" t="inlineStr">
        <is>
          <t>2004-10-07</t>
        </is>
      </c>
      <c r="X554" t="inlineStr">
        <is>
          <t>2004-10-07</t>
        </is>
      </c>
      <c r="Y554" t="inlineStr">
        <is>
          <t>2004-10-07</t>
        </is>
      </c>
      <c r="Z554" t="inlineStr">
        <is>
          <t>2004-10-07</t>
        </is>
      </c>
      <c r="AA554" t="n">
        <v>26</v>
      </c>
      <c r="AB554" t="n">
        <v>16</v>
      </c>
      <c r="AC554" t="n">
        <v>47</v>
      </c>
      <c r="AD554" t="n">
        <v>1</v>
      </c>
      <c r="AE554" t="n">
        <v>2</v>
      </c>
      <c r="AF554" t="n">
        <v>1</v>
      </c>
      <c r="AG554" t="n">
        <v>4</v>
      </c>
      <c r="AH554" t="n">
        <v>1</v>
      </c>
      <c r="AI554" t="n">
        <v>1</v>
      </c>
      <c r="AJ554" t="n">
        <v>0</v>
      </c>
      <c r="AK554" t="n">
        <v>1</v>
      </c>
      <c r="AL554" t="n">
        <v>1</v>
      </c>
      <c r="AM554" t="n">
        <v>3</v>
      </c>
      <c r="AN554" t="n">
        <v>0</v>
      </c>
      <c r="AO554" t="n">
        <v>1</v>
      </c>
      <c r="AP554" t="n">
        <v>0</v>
      </c>
      <c r="AQ554" t="n">
        <v>0</v>
      </c>
      <c r="AR554" t="inlineStr">
        <is>
          <t>No</t>
        </is>
      </c>
      <c r="AS554" t="inlineStr">
        <is>
          <t>No</t>
        </is>
      </c>
      <c r="AU554">
        <f>HYPERLINK("https://creighton-primo.hosted.exlibrisgroup.com/primo-explore/search?tab=default_tab&amp;search_scope=EVERYTHING&amp;vid=01CRU&amp;lang=en_US&amp;offset=0&amp;query=any,contains,991004378959702656","Catalog Record")</f>
        <v/>
      </c>
      <c r="AV554">
        <f>HYPERLINK("http://www.worldcat.org/oclc/53705535","WorldCat Record")</f>
        <v/>
      </c>
      <c r="AW554" t="inlineStr">
        <is>
          <t>54866414:spa</t>
        </is>
      </c>
      <c r="AX554" t="inlineStr">
        <is>
          <t>53705535</t>
        </is>
      </c>
      <c r="AY554" t="inlineStr">
        <is>
          <t>991004378959702656</t>
        </is>
      </c>
      <c r="AZ554" t="inlineStr">
        <is>
          <t>991004378959702656</t>
        </is>
      </c>
      <c r="BA554" t="inlineStr">
        <is>
          <t>2267500100002656</t>
        </is>
      </c>
      <c r="BB554" t="inlineStr">
        <is>
          <t>BOOK</t>
        </is>
      </c>
      <c r="BD554" t="inlineStr">
        <is>
          <t>9788479546267</t>
        </is>
      </c>
      <c r="BE554" t="inlineStr">
        <is>
          <t>32285005002364</t>
        </is>
      </c>
      <c r="BF554" t="inlineStr">
        <is>
          <t>893349944</t>
        </is>
      </c>
    </row>
    <row r="555">
      <c r="A555" t="inlineStr">
        <is>
          <t>No</t>
        </is>
      </c>
      <c r="B555" t="inlineStr">
        <is>
          <t>CURAL</t>
        </is>
      </c>
      <c r="C555" t="inlineStr">
        <is>
          <t>SHELVES</t>
        </is>
      </c>
      <c r="D555" t="inlineStr">
        <is>
          <t>PQ6256.E76 V48 1992</t>
        </is>
      </c>
      <c r="E555" t="inlineStr">
        <is>
          <t>0                      PQ 6256000E  76                 V  48          1992</t>
        </is>
      </c>
      <c r="F555" t="inlineStr">
        <is>
          <t>Verte desnudo / edición de Lourdes Ortiz ; Mercedes Abad ... et al. ; ilustraciones de interior, Manuel Lago Alonso.</t>
        </is>
      </c>
      <c r="H555" t="inlineStr">
        <is>
          <t>No</t>
        </is>
      </c>
      <c r="I555" t="inlineStr">
        <is>
          <t>1</t>
        </is>
      </c>
      <c r="J555" t="inlineStr">
        <is>
          <t>No</t>
        </is>
      </c>
      <c r="K555" t="inlineStr">
        <is>
          <t>No</t>
        </is>
      </c>
      <c r="L555" t="inlineStr">
        <is>
          <t>0</t>
        </is>
      </c>
      <c r="N555" t="inlineStr">
        <is>
          <t>[Madrid] : Temas de Hoy, [1992]</t>
        </is>
      </c>
      <c r="O555" t="inlineStr">
        <is>
          <t>1992</t>
        </is>
      </c>
      <c r="P555" t="inlineStr">
        <is>
          <t>[1. ed.].</t>
        </is>
      </c>
      <c r="Q555" t="inlineStr">
        <is>
          <t>spa</t>
        </is>
      </c>
      <c r="R555" t="inlineStr">
        <is>
          <t xml:space="preserve">sp </t>
        </is>
      </c>
      <c r="S555" t="inlineStr">
        <is>
          <t>Biblioteca erótica ; 19</t>
        </is>
      </c>
      <c r="T555" t="inlineStr">
        <is>
          <t xml:space="preserve">PQ </t>
        </is>
      </c>
      <c r="U555" t="n">
        <v>1</v>
      </c>
      <c r="V555" t="n">
        <v>1</v>
      </c>
      <c r="W555" t="inlineStr">
        <is>
          <t>2002-07-29</t>
        </is>
      </c>
      <c r="X555" t="inlineStr">
        <is>
          <t>2002-07-29</t>
        </is>
      </c>
      <c r="Y555" t="inlineStr">
        <is>
          <t>2002-07-29</t>
        </is>
      </c>
      <c r="Z555" t="inlineStr">
        <is>
          <t>2002-07-29</t>
        </is>
      </c>
      <c r="AA555" t="n">
        <v>20</v>
      </c>
      <c r="AB555" t="n">
        <v>14</v>
      </c>
      <c r="AC555" t="n">
        <v>14</v>
      </c>
      <c r="AD555" t="n">
        <v>1</v>
      </c>
      <c r="AE555" t="n">
        <v>1</v>
      </c>
      <c r="AF555" t="n">
        <v>1</v>
      </c>
      <c r="AG555" t="n">
        <v>1</v>
      </c>
      <c r="AH555" t="n">
        <v>1</v>
      </c>
      <c r="AI555" t="n">
        <v>1</v>
      </c>
      <c r="AJ555" t="n">
        <v>0</v>
      </c>
      <c r="AK555" t="n">
        <v>0</v>
      </c>
      <c r="AL555" t="n">
        <v>0</v>
      </c>
      <c r="AM555" t="n">
        <v>0</v>
      </c>
      <c r="AN555" t="n">
        <v>0</v>
      </c>
      <c r="AO555" t="n">
        <v>0</v>
      </c>
      <c r="AP555" t="n">
        <v>0</v>
      </c>
      <c r="AQ555" t="n">
        <v>0</v>
      </c>
      <c r="AR555" t="inlineStr">
        <is>
          <t>No</t>
        </is>
      </c>
      <c r="AS555" t="inlineStr">
        <is>
          <t>No</t>
        </is>
      </c>
      <c r="AU555">
        <f>HYPERLINK("https://creighton-primo.hosted.exlibrisgroup.com/primo-explore/search?tab=default_tab&amp;search_scope=EVERYTHING&amp;vid=01CRU&amp;lang=en_US&amp;offset=0&amp;query=any,contains,991003845729702656","Catalog Record")</f>
        <v/>
      </c>
      <c r="AV555">
        <f>HYPERLINK("http://www.worldcat.org/oclc/28808799","WorldCat Record")</f>
        <v/>
      </c>
      <c r="AW555" t="inlineStr">
        <is>
          <t>5090524970:spa</t>
        </is>
      </c>
      <c r="AX555" t="inlineStr">
        <is>
          <t>28808799</t>
        </is>
      </c>
      <c r="AY555" t="inlineStr">
        <is>
          <t>991003845729702656</t>
        </is>
      </c>
      <c r="AZ555" t="inlineStr">
        <is>
          <t>991003845729702656</t>
        </is>
      </c>
      <c r="BA555" t="inlineStr">
        <is>
          <t>2267410550002656</t>
        </is>
      </c>
      <c r="BB555" t="inlineStr">
        <is>
          <t>BOOK</t>
        </is>
      </c>
      <c r="BD555" t="inlineStr">
        <is>
          <t>9788478801565</t>
        </is>
      </c>
      <c r="BE555" t="inlineStr">
        <is>
          <t>32285004499637</t>
        </is>
      </c>
      <c r="BF555" t="inlineStr">
        <is>
          <t>893699484</t>
        </is>
      </c>
    </row>
    <row r="556">
      <c r="A556" t="inlineStr">
        <is>
          <t>No</t>
        </is>
      </c>
      <c r="B556" t="inlineStr">
        <is>
          <t>CURAL</t>
        </is>
      </c>
      <c r="C556" t="inlineStr">
        <is>
          <t>SHELVES</t>
        </is>
      </c>
      <c r="D556" t="inlineStr">
        <is>
          <t>PQ6256.P5 N6</t>
        </is>
      </c>
      <c r="E556" t="inlineStr">
        <is>
          <t>0                      PQ 6256000P  5                  N  6</t>
        </is>
      </c>
      <c r="F556" t="inlineStr">
        <is>
          <t>Selections from the picaresque novel, edited with introduction, notes, and vocabulary by George Tyler Northup.</t>
        </is>
      </c>
      <c r="H556" t="inlineStr">
        <is>
          <t>No</t>
        </is>
      </c>
      <c r="I556" t="inlineStr">
        <is>
          <t>1</t>
        </is>
      </c>
      <c r="J556" t="inlineStr">
        <is>
          <t>No</t>
        </is>
      </c>
      <c r="K556" t="inlineStr">
        <is>
          <t>No</t>
        </is>
      </c>
      <c r="L556" t="inlineStr">
        <is>
          <t>0</t>
        </is>
      </c>
      <c r="M556" t="inlineStr">
        <is>
          <t>Northup, George Tyler, 1874-1964, editor.</t>
        </is>
      </c>
      <c r="N556" t="inlineStr">
        <is>
          <t>Boston, New York [etc.] D.C. Heath and company [c1935]</t>
        </is>
      </c>
      <c r="O556" t="inlineStr">
        <is>
          <t>1935</t>
        </is>
      </c>
      <c r="Q556" t="inlineStr">
        <is>
          <t>eng</t>
        </is>
      </c>
      <c r="R556" t="inlineStr">
        <is>
          <t xml:space="preserve">xx </t>
        </is>
      </c>
      <c r="S556" t="inlineStr">
        <is>
          <t>Heath's modern language series</t>
        </is>
      </c>
      <c r="T556" t="inlineStr">
        <is>
          <t xml:space="preserve">PQ </t>
        </is>
      </c>
      <c r="U556" t="n">
        <v>1</v>
      </c>
      <c r="V556" t="n">
        <v>1</v>
      </c>
      <c r="W556" t="inlineStr">
        <is>
          <t>2001-12-01</t>
        </is>
      </c>
      <c r="X556" t="inlineStr">
        <is>
          <t>2001-12-01</t>
        </is>
      </c>
      <c r="Y556" t="inlineStr">
        <is>
          <t>1997-07-01</t>
        </is>
      </c>
      <c r="Z556" t="inlineStr">
        <is>
          <t>1997-07-01</t>
        </is>
      </c>
      <c r="AA556" t="n">
        <v>141</v>
      </c>
      <c r="AB556" t="n">
        <v>124</v>
      </c>
      <c r="AC556" t="n">
        <v>126</v>
      </c>
      <c r="AD556" t="n">
        <v>2</v>
      </c>
      <c r="AE556" t="n">
        <v>2</v>
      </c>
      <c r="AF556" t="n">
        <v>10</v>
      </c>
      <c r="AG556" t="n">
        <v>10</v>
      </c>
      <c r="AH556" t="n">
        <v>7</v>
      </c>
      <c r="AI556" t="n">
        <v>7</v>
      </c>
      <c r="AJ556" t="n">
        <v>1</v>
      </c>
      <c r="AK556" t="n">
        <v>1</v>
      </c>
      <c r="AL556" t="n">
        <v>4</v>
      </c>
      <c r="AM556" t="n">
        <v>4</v>
      </c>
      <c r="AN556" t="n">
        <v>1</v>
      </c>
      <c r="AO556" t="n">
        <v>1</v>
      </c>
      <c r="AP556" t="n">
        <v>0</v>
      </c>
      <c r="AQ556" t="n">
        <v>0</v>
      </c>
      <c r="AR556" t="inlineStr">
        <is>
          <t>No</t>
        </is>
      </c>
      <c r="AS556" t="inlineStr">
        <is>
          <t>Yes</t>
        </is>
      </c>
      <c r="AT556">
        <f>HYPERLINK("http://catalog.hathitrust.org/Record/001048099","HathiTrust Record")</f>
        <v/>
      </c>
      <c r="AU556">
        <f>HYPERLINK("https://creighton-primo.hosted.exlibrisgroup.com/primo-explore/search?tab=default_tab&amp;search_scope=EVERYTHING&amp;vid=01CRU&amp;lang=en_US&amp;offset=0&amp;query=any,contains,991003725949702656","Catalog Record")</f>
        <v/>
      </c>
      <c r="AV556">
        <f>HYPERLINK("http://www.worldcat.org/oclc/1373167","WorldCat Record")</f>
        <v/>
      </c>
      <c r="AW556" t="inlineStr">
        <is>
          <t>2287222:eng</t>
        </is>
      </c>
      <c r="AX556" t="inlineStr">
        <is>
          <t>1373167</t>
        </is>
      </c>
      <c r="AY556" t="inlineStr">
        <is>
          <t>991003725949702656</t>
        </is>
      </c>
      <c r="AZ556" t="inlineStr">
        <is>
          <t>991003725949702656</t>
        </is>
      </c>
      <c r="BA556" t="inlineStr">
        <is>
          <t>2258494120002656</t>
        </is>
      </c>
      <c r="BB556" t="inlineStr">
        <is>
          <t>BOOK</t>
        </is>
      </c>
      <c r="BE556" t="inlineStr">
        <is>
          <t>32285002517810</t>
        </is>
      </c>
      <c r="BF556" t="inlineStr">
        <is>
          <t>893793955</t>
        </is>
      </c>
    </row>
    <row r="557">
      <c r="A557" t="inlineStr">
        <is>
          <t>No</t>
        </is>
      </c>
      <c r="B557" t="inlineStr">
        <is>
          <t>CURAL</t>
        </is>
      </c>
      <c r="C557" t="inlineStr">
        <is>
          <t>SHELVES</t>
        </is>
      </c>
      <c r="D557" t="inlineStr">
        <is>
          <t>PQ6256.P5 R8</t>
        </is>
      </c>
      <c r="E557" t="inlineStr">
        <is>
          <t>0                      PQ 6256000P  5                  R  8</t>
        </is>
      </c>
      <c r="F557" t="inlineStr">
        <is>
          <t>La novela picaresca; selección hecha por Federico Ruiz Morcuende. Dibujos de F. Marco.</t>
        </is>
      </c>
      <c r="H557" t="inlineStr">
        <is>
          <t>No</t>
        </is>
      </c>
      <c r="I557" t="inlineStr">
        <is>
          <t>1</t>
        </is>
      </c>
      <c r="J557" t="inlineStr">
        <is>
          <t>No</t>
        </is>
      </c>
      <c r="K557" t="inlineStr">
        <is>
          <t>No</t>
        </is>
      </c>
      <c r="L557" t="inlineStr">
        <is>
          <t>0</t>
        </is>
      </c>
      <c r="M557" t="inlineStr">
        <is>
          <t>Ruiz Morcuende, Federico, 1890-</t>
        </is>
      </c>
      <c r="N557" t="inlineStr">
        <is>
          <t>Madrid, Instituto-escuels, Junta para ampliación de estudios, 1922.</t>
        </is>
      </c>
      <c r="O557" t="inlineStr">
        <is>
          <t>1922</t>
        </is>
      </c>
      <c r="Q557" t="inlineStr">
        <is>
          <t>spa</t>
        </is>
      </c>
      <c r="R557" t="inlineStr">
        <is>
          <t xml:space="preserve">sp </t>
        </is>
      </c>
      <c r="S557" t="inlineStr">
        <is>
          <t>Biblioteca literaria del estudiante ; t. 26</t>
        </is>
      </c>
      <c r="T557" t="inlineStr">
        <is>
          <t xml:space="preserve">PQ </t>
        </is>
      </c>
      <c r="U557" t="n">
        <v>2</v>
      </c>
      <c r="V557" t="n">
        <v>2</v>
      </c>
      <c r="W557" t="inlineStr">
        <is>
          <t>1999-01-21</t>
        </is>
      </c>
      <c r="X557" t="inlineStr">
        <is>
          <t>1999-01-21</t>
        </is>
      </c>
      <c r="Y557" t="inlineStr">
        <is>
          <t>1997-07-01</t>
        </is>
      </c>
      <c r="Z557" t="inlineStr">
        <is>
          <t>1997-07-01</t>
        </is>
      </c>
      <c r="AA557" t="n">
        <v>91</v>
      </c>
      <c r="AB557" t="n">
        <v>87</v>
      </c>
      <c r="AC557" t="n">
        <v>151</v>
      </c>
      <c r="AD557" t="n">
        <v>1</v>
      </c>
      <c r="AE557" t="n">
        <v>1</v>
      </c>
      <c r="AF557" t="n">
        <v>6</v>
      </c>
      <c r="AG557" t="n">
        <v>7</v>
      </c>
      <c r="AH557" t="n">
        <v>1</v>
      </c>
      <c r="AI557" t="n">
        <v>2</v>
      </c>
      <c r="AJ557" t="n">
        <v>2</v>
      </c>
      <c r="AK557" t="n">
        <v>2</v>
      </c>
      <c r="AL557" t="n">
        <v>4</v>
      </c>
      <c r="AM557" t="n">
        <v>4</v>
      </c>
      <c r="AN557" t="n">
        <v>0</v>
      </c>
      <c r="AO557" t="n">
        <v>0</v>
      </c>
      <c r="AP557" t="n">
        <v>0</v>
      </c>
      <c r="AQ557" t="n">
        <v>0</v>
      </c>
      <c r="AR557" t="inlineStr">
        <is>
          <t>Yes</t>
        </is>
      </c>
      <c r="AS557" t="inlineStr">
        <is>
          <t>No</t>
        </is>
      </c>
      <c r="AT557">
        <f>HYPERLINK("http://catalog.hathitrust.org/Record/001589322","HathiTrust Record")</f>
        <v/>
      </c>
      <c r="AU557">
        <f>HYPERLINK("https://creighton-primo.hosted.exlibrisgroup.com/primo-explore/search?tab=default_tab&amp;search_scope=EVERYTHING&amp;vid=01CRU&amp;lang=en_US&amp;offset=0&amp;query=any,contains,991004337139702656","Catalog Record")</f>
        <v/>
      </c>
      <c r="AV557">
        <f>HYPERLINK("http://www.worldcat.org/oclc/3076563","WorldCat Record")</f>
        <v/>
      </c>
      <c r="AW557" t="inlineStr">
        <is>
          <t>348577313:spa</t>
        </is>
      </c>
      <c r="AX557" t="inlineStr">
        <is>
          <t>3076563</t>
        </is>
      </c>
      <c r="AY557" t="inlineStr">
        <is>
          <t>991004337139702656</t>
        </is>
      </c>
      <c r="AZ557" t="inlineStr">
        <is>
          <t>991004337139702656</t>
        </is>
      </c>
      <c r="BA557" t="inlineStr">
        <is>
          <t>2266055900002656</t>
        </is>
      </c>
      <c r="BB557" t="inlineStr">
        <is>
          <t>BOOK</t>
        </is>
      </c>
      <c r="BE557" t="inlineStr">
        <is>
          <t>32285002517828</t>
        </is>
      </c>
      <c r="BF557" t="inlineStr">
        <is>
          <t>893263210</t>
        </is>
      </c>
    </row>
    <row r="558">
      <c r="A558" t="inlineStr">
        <is>
          <t>No</t>
        </is>
      </c>
      <c r="B558" t="inlineStr">
        <is>
          <t>CURAL</t>
        </is>
      </c>
      <c r="C558" t="inlineStr">
        <is>
          <t>SHELVES</t>
        </is>
      </c>
      <c r="D558" t="inlineStr">
        <is>
          <t>PQ6257 .A57 2000</t>
        </is>
      </c>
      <c r="E558" t="inlineStr">
        <is>
          <t>0                      PQ 6257000A  57          2000</t>
        </is>
      </c>
      <c r="F558" t="inlineStr">
        <is>
          <t>Antología del cuento español, hispanoamericano y puertorriqueño, siglo XX / selección y comentarios críticos de Juan Escalera Ortiz.</t>
        </is>
      </c>
      <c r="H558" t="inlineStr">
        <is>
          <t>No</t>
        </is>
      </c>
      <c r="I558" t="inlineStr">
        <is>
          <t>1</t>
        </is>
      </c>
      <c r="J558" t="inlineStr">
        <is>
          <t>No</t>
        </is>
      </c>
      <c r="K558" t="inlineStr">
        <is>
          <t>No</t>
        </is>
      </c>
      <c r="L558" t="inlineStr">
        <is>
          <t>0</t>
        </is>
      </c>
      <c r="N558" t="inlineStr">
        <is>
          <t>Río Piedras, Puerto Rico : Editorial Plaza Mayor, c2000.</t>
        </is>
      </c>
      <c r="O558" t="inlineStr">
        <is>
          <t>2000</t>
        </is>
      </c>
      <c r="P558" t="inlineStr">
        <is>
          <t>5. ed.</t>
        </is>
      </c>
      <c r="Q558" t="inlineStr">
        <is>
          <t>spa</t>
        </is>
      </c>
      <c r="R558" t="inlineStr">
        <is>
          <t xml:space="preserve">pr </t>
        </is>
      </c>
      <c r="T558" t="inlineStr">
        <is>
          <t xml:space="preserve">PQ </t>
        </is>
      </c>
      <c r="U558" t="n">
        <v>1</v>
      </c>
      <c r="V558" t="n">
        <v>1</v>
      </c>
      <c r="W558" t="inlineStr">
        <is>
          <t>2002-11-11</t>
        </is>
      </c>
      <c r="X558" t="inlineStr">
        <is>
          <t>2002-11-11</t>
        </is>
      </c>
      <c r="Y558" t="inlineStr">
        <is>
          <t>2002-11-11</t>
        </is>
      </c>
      <c r="Z558" t="inlineStr">
        <is>
          <t>2002-11-11</t>
        </is>
      </c>
      <c r="AA558" t="n">
        <v>23</v>
      </c>
      <c r="AB558" t="n">
        <v>21</v>
      </c>
      <c r="AC558" t="n">
        <v>84</v>
      </c>
      <c r="AD558" t="n">
        <v>0</v>
      </c>
      <c r="AE558" t="n">
        <v>0</v>
      </c>
      <c r="AF558" t="n">
        <v>1</v>
      </c>
      <c r="AG558" t="n">
        <v>3</v>
      </c>
      <c r="AH558" t="n">
        <v>1</v>
      </c>
      <c r="AI558" t="n">
        <v>2</v>
      </c>
      <c r="AJ558" t="n">
        <v>0</v>
      </c>
      <c r="AK558" t="n">
        <v>0</v>
      </c>
      <c r="AL558" t="n">
        <v>0</v>
      </c>
      <c r="AM558" t="n">
        <v>1</v>
      </c>
      <c r="AN558" t="n">
        <v>0</v>
      </c>
      <c r="AO558" t="n">
        <v>0</v>
      </c>
      <c r="AP558" t="n">
        <v>0</v>
      </c>
      <c r="AQ558" t="n">
        <v>0</v>
      </c>
      <c r="AR558" t="inlineStr">
        <is>
          <t>No</t>
        </is>
      </c>
      <c r="AS558" t="inlineStr">
        <is>
          <t>No</t>
        </is>
      </c>
      <c r="AU558">
        <f>HYPERLINK("https://creighton-primo.hosted.exlibrisgroup.com/primo-explore/search?tab=default_tab&amp;search_scope=EVERYTHING&amp;vid=01CRU&amp;lang=en_US&amp;offset=0&amp;query=any,contains,991003835989702656","Catalog Record")</f>
        <v/>
      </c>
      <c r="AV558">
        <f>HYPERLINK("http://www.worldcat.org/oclc/38436212","WorldCat Record")</f>
        <v/>
      </c>
      <c r="AW558" t="inlineStr">
        <is>
          <t>55012410:spa</t>
        </is>
      </c>
      <c r="AX558" t="inlineStr">
        <is>
          <t>38436212</t>
        </is>
      </c>
      <c r="AY558" t="inlineStr">
        <is>
          <t>991003835989702656</t>
        </is>
      </c>
      <c r="AZ558" t="inlineStr">
        <is>
          <t>991003835989702656</t>
        </is>
      </c>
      <c r="BA558" t="inlineStr">
        <is>
          <t>2270369430002656</t>
        </is>
      </c>
      <c r="BB558" t="inlineStr">
        <is>
          <t>BOOK</t>
        </is>
      </c>
      <c r="BD558" t="inlineStr">
        <is>
          <t>9781563280702</t>
        </is>
      </c>
      <c r="BE558" t="inlineStr">
        <is>
          <t>32285004498894</t>
        </is>
      </c>
      <c r="BF558" t="inlineStr">
        <is>
          <t>893441811</t>
        </is>
      </c>
    </row>
    <row r="559">
      <c r="A559" t="inlineStr">
        <is>
          <t>No</t>
        </is>
      </c>
      <c r="B559" t="inlineStr">
        <is>
          <t>CURAL</t>
        </is>
      </c>
      <c r="C559" t="inlineStr">
        <is>
          <t>SHELVES</t>
        </is>
      </c>
      <c r="D559" t="inlineStr">
        <is>
          <t>PQ6267.E6 T8</t>
        </is>
      </c>
      <c r="E559" t="inlineStr">
        <is>
          <t>0                      PQ 6267000E  6                  T  8</t>
        </is>
      </c>
      <c r="F559" t="inlineStr">
        <is>
          <t>Contemporary Spanish dramatists; plays by Perez Galdos, Linares Rivas, Marquina, Zamacois, Dicenta and the Alvarez Quinteros, tr. into English with an introduction by Charles Alfred Turrell.</t>
        </is>
      </c>
      <c r="H559" t="inlineStr">
        <is>
          <t>No</t>
        </is>
      </c>
      <c r="I559" t="inlineStr">
        <is>
          <t>1</t>
        </is>
      </c>
      <c r="J559" t="inlineStr">
        <is>
          <t>No</t>
        </is>
      </c>
      <c r="K559" t="inlineStr">
        <is>
          <t>No</t>
        </is>
      </c>
      <c r="L559" t="inlineStr">
        <is>
          <t>0</t>
        </is>
      </c>
      <c r="M559" t="inlineStr">
        <is>
          <t>Turrell, Charles Alfred, editor, translator.</t>
        </is>
      </c>
      <c r="N559" t="inlineStr">
        <is>
          <t>Boston, R. D. Badger [c1919]</t>
        </is>
      </c>
      <c r="O559" t="inlineStr">
        <is>
          <t>1919</t>
        </is>
      </c>
      <c r="Q559" t="inlineStr">
        <is>
          <t>eng</t>
        </is>
      </c>
      <c r="R559" t="inlineStr">
        <is>
          <t>mau</t>
        </is>
      </c>
      <c r="T559" t="inlineStr">
        <is>
          <t xml:space="preserve">PQ </t>
        </is>
      </c>
      <c r="U559" t="n">
        <v>1</v>
      </c>
      <c r="V559" t="n">
        <v>1</v>
      </c>
      <c r="W559" t="inlineStr">
        <is>
          <t>2002-04-23</t>
        </is>
      </c>
      <c r="X559" t="inlineStr">
        <is>
          <t>2002-04-23</t>
        </is>
      </c>
      <c r="Y559" t="inlineStr">
        <is>
          <t>1997-07-01</t>
        </is>
      </c>
      <c r="Z559" t="inlineStr">
        <is>
          <t>1997-07-01</t>
        </is>
      </c>
      <c r="AA559" t="n">
        <v>165</v>
      </c>
      <c r="AB559" t="n">
        <v>157</v>
      </c>
      <c r="AC559" t="n">
        <v>168</v>
      </c>
      <c r="AD559" t="n">
        <v>3</v>
      </c>
      <c r="AE559" t="n">
        <v>3</v>
      </c>
      <c r="AF559" t="n">
        <v>5</v>
      </c>
      <c r="AG559" t="n">
        <v>5</v>
      </c>
      <c r="AH559" t="n">
        <v>2</v>
      </c>
      <c r="AI559" t="n">
        <v>2</v>
      </c>
      <c r="AJ559" t="n">
        <v>1</v>
      </c>
      <c r="AK559" t="n">
        <v>1</v>
      </c>
      <c r="AL559" t="n">
        <v>0</v>
      </c>
      <c r="AM559" t="n">
        <v>0</v>
      </c>
      <c r="AN559" t="n">
        <v>2</v>
      </c>
      <c r="AO559" t="n">
        <v>2</v>
      </c>
      <c r="AP559" t="n">
        <v>0</v>
      </c>
      <c r="AQ559" t="n">
        <v>0</v>
      </c>
      <c r="AR559" t="inlineStr">
        <is>
          <t>Yes</t>
        </is>
      </c>
      <c r="AS559" t="inlineStr">
        <is>
          <t>No</t>
        </is>
      </c>
      <c r="AT559">
        <f>HYPERLINK("http://catalog.hathitrust.org/Record/001049366","HathiTrust Record")</f>
        <v/>
      </c>
      <c r="AU559">
        <f>HYPERLINK("https://creighton-primo.hosted.exlibrisgroup.com/primo-explore/search?tab=default_tab&amp;search_scope=EVERYTHING&amp;vid=01CRU&amp;lang=en_US&amp;offset=0&amp;query=any,contains,991003780639702656","Catalog Record")</f>
        <v/>
      </c>
      <c r="AV559">
        <f>HYPERLINK("http://www.worldcat.org/oclc/1493678","WorldCat Record")</f>
        <v/>
      </c>
      <c r="AW559" t="inlineStr">
        <is>
          <t>4020082015:eng</t>
        </is>
      </c>
      <c r="AX559" t="inlineStr">
        <is>
          <t>1493678</t>
        </is>
      </c>
      <c r="AY559" t="inlineStr">
        <is>
          <t>991003780639702656</t>
        </is>
      </c>
      <c r="AZ559" t="inlineStr">
        <is>
          <t>991003780639702656</t>
        </is>
      </c>
      <c r="BA559" t="inlineStr">
        <is>
          <t>2271424080002656</t>
        </is>
      </c>
      <c r="BB559" t="inlineStr">
        <is>
          <t>BOOK</t>
        </is>
      </c>
      <c r="BE559" t="inlineStr">
        <is>
          <t>32285002517927</t>
        </is>
      </c>
      <c r="BF559" t="inlineStr">
        <is>
          <t>893512351</t>
        </is>
      </c>
    </row>
    <row r="560">
      <c r="A560" t="inlineStr">
        <is>
          <t>No</t>
        </is>
      </c>
      <c r="B560" t="inlineStr">
        <is>
          <t>CURAL</t>
        </is>
      </c>
      <c r="C560" t="inlineStr">
        <is>
          <t>SHELVES</t>
        </is>
      </c>
      <c r="D560" t="inlineStr">
        <is>
          <t>PQ6271.A28 Z84 1990</t>
        </is>
      </c>
      <c r="E560" t="inlineStr">
        <is>
          <t>0                      PQ 6271000A  28                 Z  84          1990</t>
        </is>
      </c>
      <c r="F560" t="inlineStr">
        <is>
          <t>El teatro escolar de los jesuitas en España / Orlando Saa.</t>
        </is>
      </c>
      <c r="H560" t="inlineStr">
        <is>
          <t>No</t>
        </is>
      </c>
      <c r="I560" t="inlineStr">
        <is>
          <t>1</t>
        </is>
      </c>
      <c r="J560" t="inlineStr">
        <is>
          <t>No</t>
        </is>
      </c>
      <c r="K560" t="inlineStr">
        <is>
          <t>No</t>
        </is>
      </c>
      <c r="L560" t="inlineStr">
        <is>
          <t>0</t>
        </is>
      </c>
      <c r="M560" t="inlineStr">
        <is>
          <t>Saa, Orlando E.</t>
        </is>
      </c>
      <c r="N560" t="inlineStr">
        <is>
          <t>New Brunswick, N.J. : Slusa, 1990.</t>
        </is>
      </c>
      <c r="O560" t="inlineStr">
        <is>
          <t>1990</t>
        </is>
      </c>
      <c r="Q560" t="inlineStr">
        <is>
          <t>spa</t>
        </is>
      </c>
      <c r="R560" t="inlineStr">
        <is>
          <t>nju</t>
        </is>
      </c>
      <c r="T560" t="inlineStr">
        <is>
          <t xml:space="preserve">PQ </t>
        </is>
      </c>
      <c r="U560" t="n">
        <v>1</v>
      </c>
      <c r="V560" t="n">
        <v>1</v>
      </c>
      <c r="W560" t="inlineStr">
        <is>
          <t>2001-02-21</t>
        </is>
      </c>
      <c r="X560" t="inlineStr">
        <is>
          <t>2001-02-21</t>
        </is>
      </c>
      <c r="Y560" t="inlineStr">
        <is>
          <t>1992-02-27</t>
        </is>
      </c>
      <c r="Z560" t="inlineStr">
        <is>
          <t>1992-02-27</t>
        </is>
      </c>
      <c r="AA560" t="n">
        <v>140</v>
      </c>
      <c r="AB560" t="n">
        <v>138</v>
      </c>
      <c r="AC560" t="n">
        <v>140</v>
      </c>
      <c r="AD560" t="n">
        <v>2</v>
      </c>
      <c r="AE560" t="n">
        <v>2</v>
      </c>
      <c r="AF560" t="n">
        <v>20</v>
      </c>
      <c r="AG560" t="n">
        <v>20</v>
      </c>
      <c r="AH560" t="n">
        <v>5</v>
      </c>
      <c r="AI560" t="n">
        <v>5</v>
      </c>
      <c r="AJ560" t="n">
        <v>6</v>
      </c>
      <c r="AK560" t="n">
        <v>6</v>
      </c>
      <c r="AL560" t="n">
        <v>17</v>
      </c>
      <c r="AM560" t="n">
        <v>17</v>
      </c>
      <c r="AN560" t="n">
        <v>1</v>
      </c>
      <c r="AO560" t="n">
        <v>1</v>
      </c>
      <c r="AP560" t="n">
        <v>0</v>
      </c>
      <c r="AQ560" t="n">
        <v>0</v>
      </c>
      <c r="AR560" t="inlineStr">
        <is>
          <t>No</t>
        </is>
      </c>
      <c r="AS560" t="inlineStr">
        <is>
          <t>Yes</t>
        </is>
      </c>
      <c r="AT560">
        <f>HYPERLINK("http://catalog.hathitrust.org/Record/002568208","HathiTrust Record")</f>
        <v/>
      </c>
      <c r="AU560">
        <f>HYPERLINK("https://creighton-primo.hosted.exlibrisgroup.com/primo-explore/search?tab=default_tab&amp;search_scope=EVERYTHING&amp;vid=01CRU&amp;lang=en_US&amp;offset=0&amp;query=any,contains,991001823699702656","Catalog Record")</f>
        <v/>
      </c>
      <c r="AV560">
        <f>HYPERLINK("http://www.worldcat.org/oclc/22908912","WorldCat Record")</f>
        <v/>
      </c>
      <c r="AW560" t="inlineStr">
        <is>
          <t>475733138:spa</t>
        </is>
      </c>
      <c r="AX560" t="inlineStr">
        <is>
          <t>22908912</t>
        </is>
      </c>
      <c r="AY560" t="inlineStr">
        <is>
          <t>991001823699702656</t>
        </is>
      </c>
      <c r="AZ560" t="inlineStr">
        <is>
          <t>991001823699702656</t>
        </is>
      </c>
      <c r="BA560" t="inlineStr">
        <is>
          <t>2263610150002656</t>
        </is>
      </c>
      <c r="BB560" t="inlineStr">
        <is>
          <t>BOOK</t>
        </is>
      </c>
      <c r="BD560" t="inlineStr">
        <is>
          <t>9780917129124</t>
        </is>
      </c>
      <c r="BE560" t="inlineStr">
        <is>
          <t>32285000909415</t>
        </is>
      </c>
      <c r="BF560" t="inlineStr">
        <is>
          <t>893803937</t>
        </is>
      </c>
    </row>
    <row r="561">
      <c r="A561" t="inlineStr">
        <is>
          <t>No</t>
        </is>
      </c>
      <c r="B561" t="inlineStr">
        <is>
          <t>CURAL</t>
        </is>
      </c>
      <c r="C561" t="inlineStr">
        <is>
          <t>SHELVES</t>
        </is>
      </c>
      <c r="D561" t="inlineStr">
        <is>
          <t>PQ6272.Z5 H3 1964</t>
        </is>
      </c>
      <c r="E561" t="inlineStr">
        <is>
          <t>0                      PQ 6272000Z  5                  H  3           1964</t>
        </is>
      </c>
      <c r="F561" t="inlineStr">
        <is>
          <t>La mujer en la novela picaresca de Mateo Alemán / por Thomas Hanrahan.</t>
        </is>
      </c>
      <c r="H561" t="inlineStr">
        <is>
          <t>No</t>
        </is>
      </c>
      <c r="I561" t="inlineStr">
        <is>
          <t>1</t>
        </is>
      </c>
      <c r="J561" t="inlineStr">
        <is>
          <t>No</t>
        </is>
      </c>
      <c r="K561" t="inlineStr">
        <is>
          <t>No</t>
        </is>
      </c>
      <c r="L561" t="inlineStr">
        <is>
          <t>0</t>
        </is>
      </c>
      <c r="M561" t="inlineStr">
        <is>
          <t>Hanrahan, Thomas, 1956-</t>
        </is>
      </c>
      <c r="N561" t="inlineStr">
        <is>
          <t>Madrid : Ediciones J. Porrúa Turanzas, 1964.</t>
        </is>
      </c>
      <c r="O561" t="inlineStr">
        <is>
          <t>1964</t>
        </is>
      </c>
      <c r="Q561" t="inlineStr">
        <is>
          <t>spa</t>
        </is>
      </c>
      <c r="R561" t="inlineStr">
        <is>
          <t xml:space="preserve">sp </t>
        </is>
      </c>
      <c r="S561" t="inlineStr">
        <is>
          <t>Bibliotheca Tenanitla; libros españoles e hispanoamericanos, 7</t>
        </is>
      </c>
      <c r="T561" t="inlineStr">
        <is>
          <t xml:space="preserve">PQ </t>
        </is>
      </c>
      <c r="U561" t="n">
        <v>1</v>
      </c>
      <c r="V561" t="n">
        <v>1</v>
      </c>
      <c r="W561" t="inlineStr">
        <is>
          <t>2005-04-06</t>
        </is>
      </c>
      <c r="X561" t="inlineStr">
        <is>
          <t>2005-04-06</t>
        </is>
      </c>
      <c r="Y561" t="inlineStr">
        <is>
          <t>2005-04-06</t>
        </is>
      </c>
      <c r="Z561" t="inlineStr">
        <is>
          <t>2005-04-06</t>
        </is>
      </c>
      <c r="AA561" t="n">
        <v>196</v>
      </c>
      <c r="AB561" t="n">
        <v>150</v>
      </c>
      <c r="AC561" t="n">
        <v>152</v>
      </c>
      <c r="AD561" t="n">
        <v>2</v>
      </c>
      <c r="AE561" t="n">
        <v>2</v>
      </c>
      <c r="AF561" t="n">
        <v>12</v>
      </c>
      <c r="AG561" t="n">
        <v>12</v>
      </c>
      <c r="AH561" t="n">
        <v>2</v>
      </c>
      <c r="AI561" t="n">
        <v>2</v>
      </c>
      <c r="AJ561" t="n">
        <v>4</v>
      </c>
      <c r="AK561" t="n">
        <v>4</v>
      </c>
      <c r="AL561" t="n">
        <v>9</v>
      </c>
      <c r="AM561" t="n">
        <v>9</v>
      </c>
      <c r="AN561" t="n">
        <v>1</v>
      </c>
      <c r="AO561" t="n">
        <v>1</v>
      </c>
      <c r="AP561" t="n">
        <v>0</v>
      </c>
      <c r="AQ561" t="n">
        <v>0</v>
      </c>
      <c r="AR561" t="inlineStr">
        <is>
          <t>No</t>
        </is>
      </c>
      <c r="AS561" t="inlineStr">
        <is>
          <t>Yes</t>
        </is>
      </c>
      <c r="AT561">
        <f>HYPERLINK("http://catalog.hathitrust.org/Record/001037082","HathiTrust Record")</f>
        <v/>
      </c>
      <c r="AU561">
        <f>HYPERLINK("https://creighton-primo.hosted.exlibrisgroup.com/primo-explore/search?tab=default_tab&amp;search_scope=EVERYTHING&amp;vid=01CRU&amp;lang=en_US&amp;offset=0&amp;query=any,contains,991004523409702656","Catalog Record")</f>
        <v/>
      </c>
      <c r="AV561">
        <f>HYPERLINK("http://www.worldcat.org/oclc/728785","WorldCat Record")</f>
        <v/>
      </c>
      <c r="AW561" t="inlineStr">
        <is>
          <t>5618891039:spa</t>
        </is>
      </c>
      <c r="AX561" t="inlineStr">
        <is>
          <t>728785</t>
        </is>
      </c>
      <c r="AY561" t="inlineStr">
        <is>
          <t>991004523409702656</t>
        </is>
      </c>
      <c r="AZ561" t="inlineStr">
        <is>
          <t>991004523409702656</t>
        </is>
      </c>
      <c r="BA561" t="inlineStr">
        <is>
          <t>2263088390002656</t>
        </is>
      </c>
      <c r="BB561" t="inlineStr">
        <is>
          <t>BOOK</t>
        </is>
      </c>
      <c r="BE561" t="inlineStr">
        <is>
          <t>32285005048490</t>
        </is>
      </c>
      <c r="BF561" t="inlineStr">
        <is>
          <t>893532502</t>
        </is>
      </c>
    </row>
    <row r="562">
      <c r="A562" t="inlineStr">
        <is>
          <t>No</t>
        </is>
      </c>
      <c r="B562" t="inlineStr">
        <is>
          <t>CURAL</t>
        </is>
      </c>
      <c r="C562" t="inlineStr">
        <is>
          <t>SHELVES</t>
        </is>
      </c>
      <c r="D562" t="inlineStr">
        <is>
          <t>PQ6275.A2 L6 1977</t>
        </is>
      </c>
      <c r="E562" t="inlineStr">
        <is>
          <t>0                      PQ 6275000A  2                  L  6           1977</t>
        </is>
      </c>
      <c r="F562" t="inlineStr">
        <is>
          <t>Amadis de Gaula / selección, estudio y notas por Victorino Lopez.</t>
        </is>
      </c>
      <c r="H562" t="inlineStr">
        <is>
          <t>No</t>
        </is>
      </c>
      <c r="I562" t="inlineStr">
        <is>
          <t>1</t>
        </is>
      </c>
      <c r="J562" t="inlineStr">
        <is>
          <t>No</t>
        </is>
      </c>
      <c r="K562" t="inlineStr">
        <is>
          <t>No</t>
        </is>
      </c>
      <c r="L562" t="inlineStr">
        <is>
          <t>0</t>
        </is>
      </c>
      <c r="M562" t="inlineStr">
        <is>
          <t>Amadís de Gaula (Spanish romance).</t>
        </is>
      </c>
      <c r="N562" t="inlineStr">
        <is>
          <t>Zaragoza : Editorial Ebro, 1977.</t>
        </is>
      </c>
      <c r="O562" t="inlineStr">
        <is>
          <t>1977</t>
        </is>
      </c>
      <c r="P562" t="inlineStr">
        <is>
          <t>8a ed., ilustrada.</t>
        </is>
      </c>
      <c r="Q562" t="inlineStr">
        <is>
          <t>spa</t>
        </is>
      </c>
      <c r="R562" t="inlineStr">
        <is>
          <t xml:space="preserve">sp </t>
        </is>
      </c>
      <c r="S562" t="inlineStr">
        <is>
          <t>Biblioteca clásica Ebro. Clásicos españoles ; 62</t>
        </is>
      </c>
      <c r="T562" t="inlineStr">
        <is>
          <t xml:space="preserve">PQ </t>
        </is>
      </c>
      <c r="U562" t="n">
        <v>1</v>
      </c>
      <c r="V562" t="n">
        <v>1</v>
      </c>
      <c r="W562" t="inlineStr">
        <is>
          <t>2005-04-06</t>
        </is>
      </c>
      <c r="X562" t="inlineStr">
        <is>
          <t>2005-04-06</t>
        </is>
      </c>
      <c r="Y562" t="inlineStr">
        <is>
          <t>2005-04-06</t>
        </is>
      </c>
      <c r="Z562" t="inlineStr">
        <is>
          <t>2005-04-06</t>
        </is>
      </c>
      <c r="AA562" t="n">
        <v>14</v>
      </c>
      <c r="AB562" t="n">
        <v>14</v>
      </c>
      <c r="AC562" t="n">
        <v>28</v>
      </c>
      <c r="AD562" t="n">
        <v>1</v>
      </c>
      <c r="AE562" t="n">
        <v>1</v>
      </c>
      <c r="AF562" t="n">
        <v>2</v>
      </c>
      <c r="AG562" t="n">
        <v>2</v>
      </c>
      <c r="AH562" t="n">
        <v>1</v>
      </c>
      <c r="AI562" t="n">
        <v>1</v>
      </c>
      <c r="AJ562" t="n">
        <v>1</v>
      </c>
      <c r="AK562" t="n">
        <v>1</v>
      </c>
      <c r="AL562" t="n">
        <v>2</v>
      </c>
      <c r="AM562" t="n">
        <v>2</v>
      </c>
      <c r="AN562" t="n">
        <v>0</v>
      </c>
      <c r="AO562" t="n">
        <v>0</v>
      </c>
      <c r="AP562" t="n">
        <v>0</v>
      </c>
      <c r="AQ562" t="n">
        <v>0</v>
      </c>
      <c r="AR562" t="inlineStr">
        <is>
          <t>No</t>
        </is>
      </c>
      <c r="AS562" t="inlineStr">
        <is>
          <t>No</t>
        </is>
      </c>
      <c r="AU562">
        <f>HYPERLINK("https://creighton-primo.hosted.exlibrisgroup.com/primo-explore/search?tab=default_tab&amp;search_scope=EVERYTHING&amp;vid=01CRU&amp;lang=en_US&amp;offset=0&amp;query=any,contains,991004523179702656","Catalog Record")</f>
        <v/>
      </c>
      <c r="AV562">
        <f>HYPERLINK("http://www.worldcat.org/oclc/13348887","WorldCat Record")</f>
        <v/>
      </c>
      <c r="AW562" t="inlineStr">
        <is>
          <t>10076046611:spa</t>
        </is>
      </c>
      <c r="AX562" t="inlineStr">
        <is>
          <t>13348887</t>
        </is>
      </c>
      <c r="AY562" t="inlineStr">
        <is>
          <t>991004523179702656</t>
        </is>
      </c>
      <c r="AZ562" t="inlineStr">
        <is>
          <t>991004523179702656</t>
        </is>
      </c>
      <c r="BA562" t="inlineStr">
        <is>
          <t>2261105230002656</t>
        </is>
      </c>
      <c r="BB562" t="inlineStr">
        <is>
          <t>BOOK</t>
        </is>
      </c>
      <c r="BD562" t="inlineStr">
        <is>
          <t>9788470640544</t>
        </is>
      </c>
      <c r="BE562" t="inlineStr">
        <is>
          <t>32285005048276</t>
        </is>
      </c>
      <c r="BF562" t="inlineStr">
        <is>
          <t>893350114</t>
        </is>
      </c>
    </row>
    <row r="563">
      <c r="A563" t="inlineStr">
        <is>
          <t>No</t>
        </is>
      </c>
      <c r="B563" t="inlineStr">
        <is>
          <t>CURAL</t>
        </is>
      </c>
      <c r="C563" t="inlineStr">
        <is>
          <t>SHELVES</t>
        </is>
      </c>
      <c r="D563" t="inlineStr">
        <is>
          <t>PQ6277 .P5</t>
        </is>
      </c>
      <c r="E563" t="inlineStr">
        <is>
          <t>0                      PQ 6277000P  5</t>
        </is>
      </c>
      <c r="F563" t="inlineStr">
        <is>
          <t>Amadís de Gaula / by Frank Pierce.</t>
        </is>
      </c>
      <c r="H563" t="inlineStr">
        <is>
          <t>No</t>
        </is>
      </c>
      <c r="I563" t="inlineStr">
        <is>
          <t>1</t>
        </is>
      </c>
      <c r="J563" t="inlineStr">
        <is>
          <t>No</t>
        </is>
      </c>
      <c r="K563" t="inlineStr">
        <is>
          <t>No</t>
        </is>
      </c>
      <c r="L563" t="inlineStr">
        <is>
          <t>0</t>
        </is>
      </c>
      <c r="M563" t="inlineStr">
        <is>
          <t>Pierce, Frank, 1915-</t>
        </is>
      </c>
      <c r="N563" t="inlineStr">
        <is>
          <t>Boston : Twayne, c1976.</t>
        </is>
      </c>
      <c r="O563" t="inlineStr">
        <is>
          <t>1976</t>
        </is>
      </c>
      <c r="Q563" t="inlineStr">
        <is>
          <t>eng</t>
        </is>
      </c>
      <c r="R563" t="inlineStr">
        <is>
          <t>mau</t>
        </is>
      </c>
      <c r="S563" t="inlineStr">
        <is>
          <t>Twayne's world authors series ; TWAS 372 : Spain</t>
        </is>
      </c>
      <c r="T563" t="inlineStr">
        <is>
          <t xml:space="preserve">PQ </t>
        </is>
      </c>
      <c r="U563" t="n">
        <v>1</v>
      </c>
      <c r="V563" t="n">
        <v>1</v>
      </c>
      <c r="W563" t="inlineStr">
        <is>
          <t>1999-07-15</t>
        </is>
      </c>
      <c r="X563" t="inlineStr">
        <is>
          <t>1999-07-15</t>
        </is>
      </c>
      <c r="Y563" t="inlineStr">
        <is>
          <t>1997-07-01</t>
        </is>
      </c>
      <c r="Z563" t="inlineStr">
        <is>
          <t>1997-07-01</t>
        </is>
      </c>
      <c r="AA563" t="n">
        <v>557</v>
      </c>
      <c r="AB563" t="n">
        <v>480</v>
      </c>
      <c r="AC563" t="n">
        <v>487</v>
      </c>
      <c r="AD563" t="n">
        <v>3</v>
      </c>
      <c r="AE563" t="n">
        <v>3</v>
      </c>
      <c r="AF563" t="n">
        <v>25</v>
      </c>
      <c r="AG563" t="n">
        <v>25</v>
      </c>
      <c r="AH563" t="n">
        <v>11</v>
      </c>
      <c r="AI563" t="n">
        <v>11</v>
      </c>
      <c r="AJ563" t="n">
        <v>7</v>
      </c>
      <c r="AK563" t="n">
        <v>7</v>
      </c>
      <c r="AL563" t="n">
        <v>13</v>
      </c>
      <c r="AM563" t="n">
        <v>13</v>
      </c>
      <c r="AN563" t="n">
        <v>2</v>
      </c>
      <c r="AO563" t="n">
        <v>2</v>
      </c>
      <c r="AP563" t="n">
        <v>0</v>
      </c>
      <c r="AQ563" t="n">
        <v>0</v>
      </c>
      <c r="AR563" t="inlineStr">
        <is>
          <t>No</t>
        </is>
      </c>
      <c r="AS563" t="inlineStr">
        <is>
          <t>Yes</t>
        </is>
      </c>
      <c r="AT563">
        <f>HYPERLINK("http://catalog.hathitrust.org/Record/000035145","HathiTrust Record")</f>
        <v/>
      </c>
      <c r="AU563">
        <f>HYPERLINK("https://creighton-primo.hosted.exlibrisgroup.com/primo-explore/search?tab=default_tab&amp;search_scope=EVERYTHING&amp;vid=01CRU&amp;lang=en_US&amp;offset=0&amp;query=any,contains,991003830309702656","Catalog Record")</f>
        <v/>
      </c>
      <c r="AV563">
        <f>HYPERLINK("http://www.worldcat.org/oclc/1584004","WorldCat Record")</f>
        <v/>
      </c>
      <c r="AW563" t="inlineStr">
        <is>
          <t>4494948172:eng</t>
        </is>
      </c>
      <c r="AX563" t="inlineStr">
        <is>
          <t>1584004</t>
        </is>
      </c>
      <c r="AY563" t="inlineStr">
        <is>
          <t>991003830309702656</t>
        </is>
      </c>
      <c r="AZ563" t="inlineStr">
        <is>
          <t>991003830309702656</t>
        </is>
      </c>
      <c r="BA563" t="inlineStr">
        <is>
          <t>2265188480002656</t>
        </is>
      </c>
      <c r="BB563" t="inlineStr">
        <is>
          <t>BOOK</t>
        </is>
      </c>
      <c r="BD563" t="inlineStr">
        <is>
          <t>9780805762204</t>
        </is>
      </c>
      <c r="BE563" t="inlineStr">
        <is>
          <t>32285002517984</t>
        </is>
      </c>
      <c r="BF563" t="inlineStr">
        <is>
          <t>893246768</t>
        </is>
      </c>
    </row>
    <row r="564">
      <c r="A564" t="inlineStr">
        <is>
          <t>No</t>
        </is>
      </c>
      <c r="B564" t="inlineStr">
        <is>
          <t>CURAL</t>
        </is>
      </c>
      <c r="C564" t="inlineStr">
        <is>
          <t>SHELVES</t>
        </is>
      </c>
      <c r="D564" t="inlineStr">
        <is>
          <t>PQ6279.B6 A6 2001</t>
        </is>
      </c>
      <c r="E564" t="inlineStr">
        <is>
          <t>0                      PQ 6279000B  6                  A  6           2001</t>
        </is>
      </c>
      <c r="F564" t="inlineStr">
        <is>
          <t>Juan Bosch, : Premio Nacional de Literatura 1990 / ensayo preliminar de Diómedes Núñez Polanco ; cronología y bibliografía de Guillermo Piña Contreras.</t>
        </is>
      </c>
      <c r="H564" t="inlineStr">
        <is>
          <t>No</t>
        </is>
      </c>
      <c r="I564" t="inlineStr">
        <is>
          <t>1</t>
        </is>
      </c>
      <c r="J564" t="inlineStr">
        <is>
          <t>No</t>
        </is>
      </c>
      <c r="K564" t="inlineStr">
        <is>
          <t>No</t>
        </is>
      </c>
      <c r="L564" t="inlineStr">
        <is>
          <t>0</t>
        </is>
      </c>
      <c r="M564" t="inlineStr">
        <is>
          <t>Bosch, Juan, 1909-2001.</t>
        </is>
      </c>
      <c r="N564" t="inlineStr">
        <is>
          <t>Santo Domingo, R.D. : Ediciones de la Fundación Corripio, 2001.</t>
        </is>
      </c>
      <c r="O564" t="inlineStr">
        <is>
          <t>2001</t>
        </is>
      </c>
      <c r="Q564" t="inlineStr">
        <is>
          <t>spa</t>
        </is>
      </c>
      <c r="R564" t="inlineStr">
        <is>
          <t xml:space="preserve">dr </t>
        </is>
      </c>
      <c r="S564" t="inlineStr">
        <is>
          <t>Colección Premio Nacional de Literatura</t>
        </is>
      </c>
      <c r="T564" t="inlineStr">
        <is>
          <t xml:space="preserve">PQ </t>
        </is>
      </c>
      <c r="U564" t="n">
        <v>2</v>
      </c>
      <c r="V564" t="n">
        <v>2</v>
      </c>
      <c r="W564" t="inlineStr">
        <is>
          <t>2002-05-22</t>
        </is>
      </c>
      <c r="X564" t="inlineStr">
        <is>
          <t>2002-05-22</t>
        </is>
      </c>
      <c r="Y564" t="inlineStr">
        <is>
          <t>2002-05-15</t>
        </is>
      </c>
      <c r="Z564" t="inlineStr">
        <is>
          <t>2002-05-15</t>
        </is>
      </c>
      <c r="AA564" t="n">
        <v>13</v>
      </c>
      <c r="AB564" t="n">
        <v>13</v>
      </c>
      <c r="AC564" t="n">
        <v>14</v>
      </c>
      <c r="AD564" t="n">
        <v>1</v>
      </c>
      <c r="AE564" t="n">
        <v>1</v>
      </c>
      <c r="AF564" t="n">
        <v>0</v>
      </c>
      <c r="AG564" t="n">
        <v>0</v>
      </c>
      <c r="AH564" t="n">
        <v>0</v>
      </c>
      <c r="AI564" t="n">
        <v>0</v>
      </c>
      <c r="AJ564" t="n">
        <v>0</v>
      </c>
      <c r="AK564" t="n">
        <v>0</v>
      </c>
      <c r="AL564" t="n">
        <v>0</v>
      </c>
      <c r="AM564" t="n">
        <v>0</v>
      </c>
      <c r="AN564" t="n">
        <v>0</v>
      </c>
      <c r="AO564" t="n">
        <v>0</v>
      </c>
      <c r="AP564" t="n">
        <v>0</v>
      </c>
      <c r="AQ564" t="n">
        <v>0</v>
      </c>
      <c r="AR564" t="inlineStr">
        <is>
          <t>No</t>
        </is>
      </c>
      <c r="AS564" t="inlineStr">
        <is>
          <t>No</t>
        </is>
      </c>
      <c r="AU564">
        <f>HYPERLINK("https://creighton-primo.hosted.exlibrisgroup.com/primo-explore/search?tab=default_tab&amp;search_scope=EVERYTHING&amp;vid=01CRU&amp;lang=en_US&amp;offset=0&amp;query=any,contains,991003808349702656","Catalog Record")</f>
        <v/>
      </c>
      <c r="AV564">
        <f>HYPERLINK("http://www.worldcat.org/oclc/49013481","WorldCat Record")</f>
        <v/>
      </c>
      <c r="AW564" t="inlineStr">
        <is>
          <t>8909682823:spa</t>
        </is>
      </c>
      <c r="AX564" t="inlineStr">
        <is>
          <t>49013481</t>
        </is>
      </c>
      <c r="AY564" t="inlineStr">
        <is>
          <t>991003808349702656</t>
        </is>
      </c>
      <c r="AZ564" t="inlineStr">
        <is>
          <t>991003808349702656</t>
        </is>
      </c>
      <c r="BA564" t="inlineStr">
        <is>
          <t>2257303830002656</t>
        </is>
      </c>
      <c r="BB564" t="inlineStr">
        <is>
          <t>BOOK</t>
        </is>
      </c>
      <c r="BD564" t="inlineStr">
        <is>
          <t>9789993454069</t>
        </is>
      </c>
      <c r="BE564" t="inlineStr">
        <is>
          <t>32285004488721</t>
        </is>
      </c>
      <c r="BF564" t="inlineStr">
        <is>
          <t>893611474</t>
        </is>
      </c>
    </row>
    <row r="565">
      <c r="A565" t="inlineStr">
        <is>
          <t>No</t>
        </is>
      </c>
      <c r="B565" t="inlineStr">
        <is>
          <t>CURAL</t>
        </is>
      </c>
      <c r="C565" t="inlineStr">
        <is>
          <t>SHELVES</t>
        </is>
      </c>
      <c r="D565" t="inlineStr">
        <is>
          <t>PQ6285.A3 C7</t>
        </is>
      </c>
      <c r="E565" t="inlineStr">
        <is>
          <t>0                      PQ 6285000A  3                  C  7</t>
        </is>
      </c>
      <c r="F565" t="inlineStr">
        <is>
          <t>La vida es sueño / by d. Pedro Calderón de la Barca; with notes and vocabulary by William Wistar Comfort.</t>
        </is>
      </c>
      <c r="H565" t="inlineStr">
        <is>
          <t>No</t>
        </is>
      </c>
      <c r="I565" t="inlineStr">
        <is>
          <t>1</t>
        </is>
      </c>
      <c r="J565" t="inlineStr">
        <is>
          <t>No</t>
        </is>
      </c>
      <c r="K565" t="inlineStr">
        <is>
          <t>Yes</t>
        </is>
      </c>
      <c r="L565" t="inlineStr">
        <is>
          <t>0</t>
        </is>
      </c>
      <c r="M565" t="inlineStr">
        <is>
          <t>Calderón de la Barca, Pedro, 1600-1681.</t>
        </is>
      </c>
      <c r="N565" t="inlineStr">
        <is>
          <t>New York, American book company [1904]</t>
        </is>
      </c>
      <c r="O565" t="inlineStr">
        <is>
          <t>1904</t>
        </is>
      </c>
      <c r="Q565" t="inlineStr">
        <is>
          <t>spa</t>
        </is>
      </c>
      <c r="R565" t="inlineStr">
        <is>
          <t>nyu</t>
        </is>
      </c>
      <c r="T565" t="inlineStr">
        <is>
          <t xml:space="preserve">PQ </t>
        </is>
      </c>
      <c r="U565" t="n">
        <v>1</v>
      </c>
      <c r="V565" t="n">
        <v>1</v>
      </c>
      <c r="W565" t="inlineStr">
        <is>
          <t>2003-11-22</t>
        </is>
      </c>
      <c r="X565" t="inlineStr">
        <is>
          <t>2003-11-22</t>
        </is>
      </c>
      <c r="Y565" t="inlineStr">
        <is>
          <t>1998-01-28</t>
        </is>
      </c>
      <c r="Z565" t="inlineStr">
        <is>
          <t>1998-01-28</t>
        </is>
      </c>
      <c r="AA565" t="n">
        <v>198</v>
      </c>
      <c r="AB565" t="n">
        <v>189</v>
      </c>
      <c r="AC565" t="n">
        <v>1204</v>
      </c>
      <c r="AD565" t="n">
        <v>4</v>
      </c>
      <c r="AE565" t="n">
        <v>6</v>
      </c>
      <c r="AF565" t="n">
        <v>9</v>
      </c>
      <c r="AG565" t="n">
        <v>50</v>
      </c>
      <c r="AH565" t="n">
        <v>4</v>
      </c>
      <c r="AI565" t="n">
        <v>26</v>
      </c>
      <c r="AJ565" t="n">
        <v>0</v>
      </c>
      <c r="AK565" t="n">
        <v>10</v>
      </c>
      <c r="AL565" t="n">
        <v>4</v>
      </c>
      <c r="AM565" t="n">
        <v>23</v>
      </c>
      <c r="AN565" t="n">
        <v>3</v>
      </c>
      <c r="AO565" t="n">
        <v>5</v>
      </c>
      <c r="AP565" t="n">
        <v>0</v>
      </c>
      <c r="AQ565" t="n">
        <v>0</v>
      </c>
      <c r="AR565" t="inlineStr">
        <is>
          <t>Yes</t>
        </is>
      </c>
      <c r="AS565" t="inlineStr">
        <is>
          <t>No</t>
        </is>
      </c>
      <c r="AT565">
        <f>HYPERLINK("http://catalog.hathitrust.org/Record/006537796","HathiTrust Record")</f>
        <v/>
      </c>
      <c r="AU565">
        <f>HYPERLINK("https://creighton-primo.hosted.exlibrisgroup.com/primo-explore/search?tab=default_tab&amp;search_scope=EVERYTHING&amp;vid=01CRU&amp;lang=en_US&amp;offset=0&amp;query=any,contains,991003477459702656","Catalog Record")</f>
        <v/>
      </c>
      <c r="AV565">
        <f>HYPERLINK("http://www.worldcat.org/oclc/1022758","WorldCat Record")</f>
        <v/>
      </c>
      <c r="AW565" t="inlineStr">
        <is>
          <t>320530:spa</t>
        </is>
      </c>
      <c r="AX565" t="inlineStr">
        <is>
          <t>1022758</t>
        </is>
      </c>
      <c r="AY565" t="inlineStr">
        <is>
          <t>991003477459702656</t>
        </is>
      </c>
      <c r="AZ565" t="inlineStr">
        <is>
          <t>991003477459702656</t>
        </is>
      </c>
      <c r="BA565" t="inlineStr">
        <is>
          <t>2272403390002656</t>
        </is>
      </c>
      <c r="BB565" t="inlineStr">
        <is>
          <t>BOOK</t>
        </is>
      </c>
      <c r="BE565" t="inlineStr">
        <is>
          <t>32285003335253</t>
        </is>
      </c>
      <c r="BF565" t="inlineStr">
        <is>
          <t>893416411</t>
        </is>
      </c>
    </row>
    <row r="566">
      <c r="A566" t="inlineStr">
        <is>
          <t>No</t>
        </is>
      </c>
      <c r="B566" t="inlineStr">
        <is>
          <t>CURAL</t>
        </is>
      </c>
      <c r="C566" t="inlineStr">
        <is>
          <t>SHELVES</t>
        </is>
      </c>
      <c r="D566" t="inlineStr">
        <is>
          <t>PQ6285.A3 C7 1960</t>
        </is>
      </c>
      <c r="E566" t="inlineStr">
        <is>
          <t>0                      PQ 6285000A  3                  C  7           1960</t>
        </is>
      </c>
      <c r="F566" t="inlineStr">
        <is>
          <t>La vida es sueño. El alcalde de Zalamea. Estudio, edición y glosario por Augusto Cortina.</t>
        </is>
      </c>
      <c r="H566" t="inlineStr">
        <is>
          <t>No</t>
        </is>
      </c>
      <c r="I566" t="inlineStr">
        <is>
          <t>1</t>
        </is>
      </c>
      <c r="J566" t="inlineStr">
        <is>
          <t>No</t>
        </is>
      </c>
      <c r="K566" t="inlineStr">
        <is>
          <t>Yes</t>
        </is>
      </c>
      <c r="L566" t="inlineStr">
        <is>
          <t>0</t>
        </is>
      </c>
      <c r="M566" t="inlineStr">
        <is>
          <t>Calderón de la Barca, Pedro, 1600-1681.</t>
        </is>
      </c>
      <c r="N566" t="inlineStr">
        <is>
          <t>Madrid Espasa-Calpe [1960]</t>
        </is>
      </c>
      <c r="O566" t="inlineStr">
        <is>
          <t>1960</t>
        </is>
      </c>
      <c r="Q566" t="inlineStr">
        <is>
          <t>spa</t>
        </is>
      </c>
      <c r="R566" t="inlineStr">
        <is>
          <t xml:space="preserve">sp </t>
        </is>
      </c>
      <c r="S566" t="inlineStr">
        <is>
          <t>Clásicos castellanos ; 138</t>
        </is>
      </c>
      <c r="T566" t="inlineStr">
        <is>
          <t xml:space="preserve">PQ </t>
        </is>
      </c>
      <c r="U566" t="n">
        <v>1</v>
      </c>
      <c r="V566" t="n">
        <v>1</v>
      </c>
      <c r="W566" t="inlineStr">
        <is>
          <t>2003-11-22</t>
        </is>
      </c>
      <c r="X566" t="inlineStr">
        <is>
          <t>2003-11-22</t>
        </is>
      </c>
      <c r="Y566" t="inlineStr">
        <is>
          <t>1997-07-01</t>
        </is>
      </c>
      <c r="Z566" t="inlineStr">
        <is>
          <t>1997-07-01</t>
        </is>
      </c>
      <c r="AA566" t="n">
        <v>147</v>
      </c>
      <c r="AB566" t="n">
        <v>124</v>
      </c>
      <c r="AC566" t="n">
        <v>1204</v>
      </c>
      <c r="AD566" t="n">
        <v>2</v>
      </c>
      <c r="AE566" t="n">
        <v>6</v>
      </c>
      <c r="AF566" t="n">
        <v>7</v>
      </c>
      <c r="AG566" t="n">
        <v>50</v>
      </c>
      <c r="AH566" t="n">
        <v>4</v>
      </c>
      <c r="AI566" t="n">
        <v>26</v>
      </c>
      <c r="AJ566" t="n">
        <v>0</v>
      </c>
      <c r="AK566" t="n">
        <v>10</v>
      </c>
      <c r="AL566" t="n">
        <v>2</v>
      </c>
      <c r="AM566" t="n">
        <v>23</v>
      </c>
      <c r="AN566" t="n">
        <v>1</v>
      </c>
      <c r="AO566" t="n">
        <v>5</v>
      </c>
      <c r="AP566" t="n">
        <v>0</v>
      </c>
      <c r="AQ566" t="n">
        <v>0</v>
      </c>
      <c r="AR566" t="inlineStr">
        <is>
          <t>No</t>
        </is>
      </c>
      <c r="AS566" t="inlineStr">
        <is>
          <t>Yes</t>
        </is>
      </c>
      <c r="AT566">
        <f>HYPERLINK("http://catalog.hathitrust.org/Record/007126412","HathiTrust Record")</f>
        <v/>
      </c>
      <c r="AU566">
        <f>HYPERLINK("https://creighton-primo.hosted.exlibrisgroup.com/primo-explore/search?tab=default_tab&amp;search_scope=EVERYTHING&amp;vid=01CRU&amp;lang=en_US&amp;offset=0&amp;query=any,contains,991004161789702656","Catalog Record")</f>
        <v/>
      </c>
      <c r="AV566">
        <f>HYPERLINK("http://www.worldcat.org/oclc/2553724","WorldCat Record")</f>
        <v/>
      </c>
      <c r="AW566" t="inlineStr">
        <is>
          <t>320530:spa</t>
        </is>
      </c>
      <c r="AX566" t="inlineStr">
        <is>
          <t>2553724</t>
        </is>
      </c>
      <c r="AY566" t="inlineStr">
        <is>
          <t>991004161789702656</t>
        </is>
      </c>
      <c r="AZ566" t="inlineStr">
        <is>
          <t>991004161789702656</t>
        </is>
      </c>
      <c r="BA566" t="inlineStr">
        <is>
          <t>2255429300002656</t>
        </is>
      </c>
      <c r="BB566" t="inlineStr">
        <is>
          <t>BOOK</t>
        </is>
      </c>
      <c r="BE566" t="inlineStr">
        <is>
          <t>32285002518164</t>
        </is>
      </c>
      <c r="BF566" t="inlineStr">
        <is>
          <t>893706057</t>
        </is>
      </c>
    </row>
    <row r="567">
      <c r="A567" t="inlineStr">
        <is>
          <t>No</t>
        </is>
      </c>
      <c r="B567" t="inlineStr">
        <is>
          <t>CURAL</t>
        </is>
      </c>
      <c r="C567" t="inlineStr">
        <is>
          <t>SHELVES</t>
        </is>
      </c>
      <c r="D567" t="inlineStr">
        <is>
          <t>PQ6292.A3 M3</t>
        </is>
      </c>
      <c r="E567" t="inlineStr">
        <is>
          <t>0                      PQ 6292000A  3                  M  3</t>
        </is>
      </c>
      <c r="F567" t="inlineStr">
        <is>
          <t>Mysteries of Corpus Christi. From the Spanish [of Calderón de la Barca] By Denis Florence MacCarthy.</t>
        </is>
      </c>
      <c r="H567" t="inlineStr">
        <is>
          <t>No</t>
        </is>
      </c>
      <c r="I567" t="inlineStr">
        <is>
          <t>1</t>
        </is>
      </c>
      <c r="J567" t="inlineStr">
        <is>
          <t>No</t>
        </is>
      </c>
      <c r="K567" t="inlineStr">
        <is>
          <t>No</t>
        </is>
      </c>
      <c r="L567" t="inlineStr">
        <is>
          <t>0</t>
        </is>
      </c>
      <c r="M567" t="inlineStr">
        <is>
          <t>Calderón de la Barca, Pedro, 1600-1681.</t>
        </is>
      </c>
      <c r="N567" t="inlineStr">
        <is>
          <t>Dublin, J. Duffy, 1867.</t>
        </is>
      </c>
      <c r="O567" t="inlineStr">
        <is>
          <t>1867</t>
        </is>
      </c>
      <c r="Q567" t="inlineStr">
        <is>
          <t>eng</t>
        </is>
      </c>
      <c r="R567" t="inlineStr">
        <is>
          <t>iek</t>
        </is>
      </c>
      <c r="T567" t="inlineStr">
        <is>
          <t xml:space="preserve">PQ </t>
        </is>
      </c>
      <c r="U567" t="n">
        <v>1</v>
      </c>
      <c r="V567" t="n">
        <v>1</v>
      </c>
      <c r="W567" t="inlineStr">
        <is>
          <t>2005-10-24</t>
        </is>
      </c>
      <c r="X567" t="inlineStr">
        <is>
          <t>2005-10-24</t>
        </is>
      </c>
      <c r="Y567" t="inlineStr">
        <is>
          <t>1997-07-01</t>
        </is>
      </c>
      <c r="Z567" t="inlineStr">
        <is>
          <t>1997-07-01</t>
        </is>
      </c>
      <c r="AA567" t="n">
        <v>27</v>
      </c>
      <c r="AB567" t="n">
        <v>18</v>
      </c>
      <c r="AC567" t="n">
        <v>59</v>
      </c>
      <c r="AD567" t="n">
        <v>1</v>
      </c>
      <c r="AE567" t="n">
        <v>1</v>
      </c>
      <c r="AF567" t="n">
        <v>2</v>
      </c>
      <c r="AG567" t="n">
        <v>2</v>
      </c>
      <c r="AH567" t="n">
        <v>0</v>
      </c>
      <c r="AI567" t="n">
        <v>0</v>
      </c>
      <c r="AJ567" t="n">
        <v>0</v>
      </c>
      <c r="AK567" t="n">
        <v>0</v>
      </c>
      <c r="AL567" t="n">
        <v>2</v>
      </c>
      <c r="AM567" t="n">
        <v>2</v>
      </c>
      <c r="AN567" t="n">
        <v>0</v>
      </c>
      <c r="AO567" t="n">
        <v>0</v>
      </c>
      <c r="AP567" t="n">
        <v>0</v>
      </c>
      <c r="AQ567" t="n">
        <v>0</v>
      </c>
      <c r="AR567" t="inlineStr">
        <is>
          <t>Yes</t>
        </is>
      </c>
      <c r="AS567" t="inlineStr">
        <is>
          <t>No</t>
        </is>
      </c>
      <c r="AT567">
        <f>HYPERLINK("http://catalog.hathitrust.org/Record/011530889","HathiTrust Record")</f>
        <v/>
      </c>
      <c r="AU567">
        <f>HYPERLINK("https://creighton-primo.hosted.exlibrisgroup.com/primo-explore/search?tab=default_tab&amp;search_scope=EVERYTHING&amp;vid=01CRU&amp;lang=en_US&amp;offset=0&amp;query=any,contains,991003978819702656","Catalog Record")</f>
        <v/>
      </c>
      <c r="AV567">
        <f>HYPERLINK("http://www.worldcat.org/oclc/2014913","WorldCat Record")</f>
        <v/>
      </c>
      <c r="AW567" t="inlineStr">
        <is>
          <t>2865080865:eng</t>
        </is>
      </c>
      <c r="AX567" t="inlineStr">
        <is>
          <t>2014913</t>
        </is>
      </c>
      <c r="AY567" t="inlineStr">
        <is>
          <t>991003978819702656</t>
        </is>
      </c>
      <c r="AZ567" t="inlineStr">
        <is>
          <t>991003978819702656</t>
        </is>
      </c>
      <c r="BA567" t="inlineStr">
        <is>
          <t>2268177210002656</t>
        </is>
      </c>
      <c r="BB567" t="inlineStr">
        <is>
          <t>BOOK</t>
        </is>
      </c>
      <c r="BE567" t="inlineStr">
        <is>
          <t>32285002518248</t>
        </is>
      </c>
      <c r="BF567" t="inlineStr">
        <is>
          <t>893417068</t>
        </is>
      </c>
    </row>
    <row r="568">
      <c r="A568" t="inlineStr">
        <is>
          <t>No</t>
        </is>
      </c>
      <c r="B568" t="inlineStr">
        <is>
          <t>CURAL</t>
        </is>
      </c>
      <c r="C568" t="inlineStr">
        <is>
          <t>SHELVES</t>
        </is>
      </c>
      <c r="D568" t="inlineStr">
        <is>
          <t>PQ631 .H5 1981</t>
        </is>
      </c>
      <c r="E568" t="inlineStr">
        <is>
          <t>0                      PQ 0631000H  5           1981</t>
        </is>
      </c>
      <c r="F568" t="inlineStr">
        <is>
          <t>Plots and characters in classic French fiction / Benjamin E. Hicks.</t>
        </is>
      </c>
      <c r="H568" t="inlineStr">
        <is>
          <t>No</t>
        </is>
      </c>
      <c r="I568" t="inlineStr">
        <is>
          <t>1</t>
        </is>
      </c>
      <c r="J568" t="inlineStr">
        <is>
          <t>No</t>
        </is>
      </c>
      <c r="K568" t="inlineStr">
        <is>
          <t>No</t>
        </is>
      </c>
      <c r="L568" t="inlineStr">
        <is>
          <t>0</t>
        </is>
      </c>
      <c r="M568" t="inlineStr">
        <is>
          <t>Hicks, Benjamin E.</t>
        </is>
      </c>
      <c r="N568" t="inlineStr">
        <is>
          <t>Hamden, Conn. : Archon Books, 1981.</t>
        </is>
      </c>
      <c r="O568" t="inlineStr">
        <is>
          <t>1981</t>
        </is>
      </c>
      <c r="Q568" t="inlineStr">
        <is>
          <t>eng</t>
        </is>
      </c>
      <c r="R568" t="inlineStr">
        <is>
          <t>ctu</t>
        </is>
      </c>
      <c r="S568" t="inlineStr">
        <is>
          <t>The Plots and characters series</t>
        </is>
      </c>
      <c r="T568" t="inlineStr">
        <is>
          <t xml:space="preserve">PQ </t>
        </is>
      </c>
      <c r="U568" t="n">
        <v>3</v>
      </c>
      <c r="V568" t="n">
        <v>3</v>
      </c>
      <c r="W568" t="inlineStr">
        <is>
          <t>2000-02-15</t>
        </is>
      </c>
      <c r="X568" t="inlineStr">
        <is>
          <t>2000-02-15</t>
        </is>
      </c>
      <c r="Y568" t="inlineStr">
        <is>
          <t>1992-08-04</t>
        </is>
      </c>
      <c r="Z568" t="inlineStr">
        <is>
          <t>1992-08-04</t>
        </is>
      </c>
      <c r="AA568" t="n">
        <v>257</v>
      </c>
      <c r="AB568" t="n">
        <v>223</v>
      </c>
      <c r="AC568" t="n">
        <v>230</v>
      </c>
      <c r="AD568" t="n">
        <v>3</v>
      </c>
      <c r="AE568" t="n">
        <v>3</v>
      </c>
      <c r="AF568" t="n">
        <v>7</v>
      </c>
      <c r="AG568" t="n">
        <v>7</v>
      </c>
      <c r="AH568" t="n">
        <v>2</v>
      </c>
      <c r="AI568" t="n">
        <v>2</v>
      </c>
      <c r="AJ568" t="n">
        <v>2</v>
      </c>
      <c r="AK568" t="n">
        <v>2</v>
      </c>
      <c r="AL568" t="n">
        <v>4</v>
      </c>
      <c r="AM568" t="n">
        <v>4</v>
      </c>
      <c r="AN568" t="n">
        <v>2</v>
      </c>
      <c r="AO568" t="n">
        <v>2</v>
      </c>
      <c r="AP568" t="n">
        <v>0</v>
      </c>
      <c r="AQ568" t="n">
        <v>0</v>
      </c>
      <c r="AR568" t="inlineStr">
        <is>
          <t>No</t>
        </is>
      </c>
      <c r="AS568" t="inlineStr">
        <is>
          <t>Yes</t>
        </is>
      </c>
      <c r="AT568">
        <f>HYPERLINK("http://catalog.hathitrust.org/Record/004454936","HathiTrust Record")</f>
        <v/>
      </c>
      <c r="AU568">
        <f>HYPERLINK("https://creighton-primo.hosted.exlibrisgroup.com/primo-explore/search?tab=default_tab&amp;search_scope=EVERYTHING&amp;vid=01CRU&amp;lang=en_US&amp;offset=0&amp;query=any,contains,991005096459702656","Catalog Record")</f>
        <v/>
      </c>
      <c r="AV568">
        <f>HYPERLINK("http://www.worldcat.org/oclc/7273933","WorldCat Record")</f>
        <v/>
      </c>
      <c r="AW568" t="inlineStr">
        <is>
          <t>417656:eng</t>
        </is>
      </c>
      <c r="AX568" t="inlineStr">
        <is>
          <t>7273933</t>
        </is>
      </c>
      <c r="AY568" t="inlineStr">
        <is>
          <t>991005096459702656</t>
        </is>
      </c>
      <c r="AZ568" t="inlineStr">
        <is>
          <t>991005096459702656</t>
        </is>
      </c>
      <c r="BA568" t="inlineStr">
        <is>
          <t>2258291350002656</t>
        </is>
      </c>
      <c r="BB568" t="inlineStr">
        <is>
          <t>BOOK</t>
        </is>
      </c>
      <c r="BD568" t="inlineStr">
        <is>
          <t>9780208017031</t>
        </is>
      </c>
      <c r="BE568" t="inlineStr">
        <is>
          <t>32285001251320</t>
        </is>
      </c>
      <c r="BF568" t="inlineStr">
        <is>
          <t>893501318</t>
        </is>
      </c>
    </row>
    <row r="569">
      <c r="A569" t="inlineStr">
        <is>
          <t>No</t>
        </is>
      </c>
      <c r="B569" t="inlineStr">
        <is>
          <t>CURAL</t>
        </is>
      </c>
      <c r="C569" t="inlineStr">
        <is>
          <t>SHELVES</t>
        </is>
      </c>
      <c r="D569" t="inlineStr">
        <is>
          <t>PQ631 .T8</t>
        </is>
      </c>
      <c r="E569" t="inlineStr">
        <is>
          <t>0                      PQ 0631000T  8</t>
        </is>
      </c>
      <c r="F569" t="inlineStr">
        <is>
          <t>The novel in France: Mme, De La Fayette, Laclos, Constant, Stendhal, Balzac, Flaubert, Proust.</t>
        </is>
      </c>
      <c r="H569" t="inlineStr">
        <is>
          <t>No</t>
        </is>
      </c>
      <c r="I569" t="inlineStr">
        <is>
          <t>1</t>
        </is>
      </c>
      <c r="J569" t="inlineStr">
        <is>
          <t>No</t>
        </is>
      </c>
      <c r="K569" t="inlineStr">
        <is>
          <t>No</t>
        </is>
      </c>
      <c r="L569" t="inlineStr">
        <is>
          <t>0</t>
        </is>
      </c>
      <c r="M569" t="inlineStr">
        <is>
          <t>Turnell, Martin.</t>
        </is>
      </c>
      <c r="N569" t="inlineStr">
        <is>
          <t>New York, New Directions [1951]</t>
        </is>
      </c>
      <c r="O569" t="inlineStr">
        <is>
          <t>1951</t>
        </is>
      </c>
      <c r="Q569" t="inlineStr">
        <is>
          <t>eng</t>
        </is>
      </c>
      <c r="R569" t="inlineStr">
        <is>
          <t>nyu</t>
        </is>
      </c>
      <c r="T569" t="inlineStr">
        <is>
          <t xml:space="preserve">PQ </t>
        </is>
      </c>
      <c r="U569" t="n">
        <v>1</v>
      </c>
      <c r="V569" t="n">
        <v>1</v>
      </c>
      <c r="W569" t="inlineStr">
        <is>
          <t>2002-04-18</t>
        </is>
      </c>
      <c r="X569" t="inlineStr">
        <is>
          <t>2002-04-18</t>
        </is>
      </c>
      <c r="Y569" t="inlineStr">
        <is>
          <t>1997-05-06</t>
        </is>
      </c>
      <c r="Z569" t="inlineStr">
        <is>
          <t>1997-05-06</t>
        </is>
      </c>
      <c r="AA569" t="n">
        <v>664</v>
      </c>
      <c r="AB569" t="n">
        <v>636</v>
      </c>
      <c r="AC569" t="n">
        <v>993</v>
      </c>
      <c r="AD569" t="n">
        <v>5</v>
      </c>
      <c r="AE569" t="n">
        <v>9</v>
      </c>
      <c r="AF569" t="n">
        <v>28</v>
      </c>
      <c r="AG569" t="n">
        <v>48</v>
      </c>
      <c r="AH569" t="n">
        <v>12</v>
      </c>
      <c r="AI569" t="n">
        <v>23</v>
      </c>
      <c r="AJ569" t="n">
        <v>6</v>
      </c>
      <c r="AK569" t="n">
        <v>9</v>
      </c>
      <c r="AL569" t="n">
        <v>13</v>
      </c>
      <c r="AM569" t="n">
        <v>20</v>
      </c>
      <c r="AN569" t="n">
        <v>3</v>
      </c>
      <c r="AO569" t="n">
        <v>7</v>
      </c>
      <c r="AP569" t="n">
        <v>0</v>
      </c>
      <c r="AQ569" t="n">
        <v>0</v>
      </c>
      <c r="AR569" t="inlineStr">
        <is>
          <t>No</t>
        </is>
      </c>
      <c r="AS569" t="inlineStr">
        <is>
          <t>No</t>
        </is>
      </c>
      <c r="AU569">
        <f>HYPERLINK("https://creighton-primo.hosted.exlibrisgroup.com/primo-explore/search?tab=default_tab&amp;search_scope=EVERYTHING&amp;vid=01CRU&amp;lang=en_US&amp;offset=0&amp;query=any,contains,991002399549702656","Catalog Record")</f>
        <v/>
      </c>
      <c r="AV569">
        <f>HYPERLINK("http://www.worldcat.org/oclc/336260","WorldCat Record")</f>
        <v/>
      </c>
      <c r="AW569" t="inlineStr">
        <is>
          <t>498514:eng</t>
        </is>
      </c>
      <c r="AX569" t="inlineStr">
        <is>
          <t>336260</t>
        </is>
      </c>
      <c r="AY569" t="inlineStr">
        <is>
          <t>991002399549702656</t>
        </is>
      </c>
      <c r="AZ569" t="inlineStr">
        <is>
          <t>991002399549702656</t>
        </is>
      </c>
      <c r="BA569" t="inlineStr">
        <is>
          <t>2255141520002656</t>
        </is>
      </c>
      <c r="BB569" t="inlineStr">
        <is>
          <t>BOOK</t>
        </is>
      </c>
      <c r="BE569" t="inlineStr">
        <is>
          <t>32285002650314</t>
        </is>
      </c>
      <c r="BF569" t="inlineStr">
        <is>
          <t>893427556</t>
        </is>
      </c>
    </row>
    <row r="570">
      <c r="A570" t="inlineStr">
        <is>
          <t>No</t>
        </is>
      </c>
      <c r="B570" t="inlineStr">
        <is>
          <t>CURAL</t>
        </is>
      </c>
      <c r="C570" t="inlineStr">
        <is>
          <t>SHELVES</t>
        </is>
      </c>
      <c r="D570" t="inlineStr">
        <is>
          <t>PQ6310.A3 V3</t>
        </is>
      </c>
      <c r="E570" t="inlineStr">
        <is>
          <t>0                      PQ 6310000A  3                  V  3</t>
        </is>
      </c>
      <c r="F570" t="inlineStr">
        <is>
          <t>Perspectiva crítica de los dramas de Calderón.</t>
        </is>
      </c>
      <c r="H570" t="inlineStr">
        <is>
          <t>No</t>
        </is>
      </c>
      <c r="I570" t="inlineStr">
        <is>
          <t>1</t>
        </is>
      </c>
      <c r="J570" t="inlineStr">
        <is>
          <t>No</t>
        </is>
      </c>
      <c r="K570" t="inlineStr">
        <is>
          <t>No</t>
        </is>
      </c>
      <c r="L570" t="inlineStr">
        <is>
          <t>0</t>
        </is>
      </c>
      <c r="M570" t="inlineStr">
        <is>
          <t>Valbuena Briones, Angel.</t>
        </is>
      </c>
      <c r="N570" t="inlineStr">
        <is>
          <t>Madrid, Ediciones Rialp [1965]</t>
        </is>
      </c>
      <c r="O570" t="inlineStr">
        <is>
          <t>1965</t>
        </is>
      </c>
      <c r="Q570" t="inlineStr">
        <is>
          <t>spa</t>
        </is>
      </c>
      <c r="R570" t="inlineStr">
        <is>
          <t xml:space="preserve">sp </t>
        </is>
      </c>
      <c r="S570" t="inlineStr">
        <is>
          <t>Naturaleza e historia ; 14</t>
        </is>
      </c>
      <c r="T570" t="inlineStr">
        <is>
          <t xml:space="preserve">PQ </t>
        </is>
      </c>
      <c r="U570" t="n">
        <v>1</v>
      </c>
      <c r="V570" t="n">
        <v>1</v>
      </c>
      <c r="W570" t="inlineStr">
        <is>
          <t>2003-11-18</t>
        </is>
      </c>
      <c r="X570" t="inlineStr">
        <is>
          <t>2003-11-18</t>
        </is>
      </c>
      <c r="Y570" t="inlineStr">
        <is>
          <t>1997-07-01</t>
        </is>
      </c>
      <c r="Z570" t="inlineStr">
        <is>
          <t>1997-07-01</t>
        </is>
      </c>
      <c r="AA570" t="n">
        <v>475</v>
      </c>
      <c r="AB570" t="n">
        <v>398</v>
      </c>
      <c r="AC570" t="n">
        <v>401</v>
      </c>
      <c r="AD570" t="n">
        <v>6</v>
      </c>
      <c r="AE570" t="n">
        <v>6</v>
      </c>
      <c r="AF570" t="n">
        <v>25</v>
      </c>
      <c r="AG570" t="n">
        <v>25</v>
      </c>
      <c r="AH570" t="n">
        <v>7</v>
      </c>
      <c r="AI570" t="n">
        <v>7</v>
      </c>
      <c r="AJ570" t="n">
        <v>5</v>
      </c>
      <c r="AK570" t="n">
        <v>5</v>
      </c>
      <c r="AL570" t="n">
        <v>13</v>
      </c>
      <c r="AM570" t="n">
        <v>13</v>
      </c>
      <c r="AN570" t="n">
        <v>5</v>
      </c>
      <c r="AO570" t="n">
        <v>5</v>
      </c>
      <c r="AP570" t="n">
        <v>0</v>
      </c>
      <c r="AQ570" t="n">
        <v>0</v>
      </c>
      <c r="AR570" t="inlineStr">
        <is>
          <t>No</t>
        </is>
      </c>
      <c r="AS570" t="inlineStr">
        <is>
          <t>Yes</t>
        </is>
      </c>
      <c r="AT570">
        <f>HYPERLINK("http://catalog.hathitrust.org/Record/001523145","HathiTrust Record")</f>
        <v/>
      </c>
      <c r="AU570">
        <f>HYPERLINK("https://creighton-primo.hosted.exlibrisgroup.com/primo-explore/search?tab=default_tab&amp;search_scope=EVERYTHING&amp;vid=01CRU&amp;lang=en_US&amp;offset=0&amp;query=any,contains,991002063749702656","Catalog Record")</f>
        <v/>
      </c>
      <c r="AV570">
        <f>HYPERLINK("http://www.worldcat.org/oclc/263209","WorldCat Record")</f>
        <v/>
      </c>
      <c r="AW570" t="inlineStr">
        <is>
          <t>1376483:spa</t>
        </is>
      </c>
      <c r="AX570" t="inlineStr">
        <is>
          <t>263209</t>
        </is>
      </c>
      <c r="AY570" t="inlineStr">
        <is>
          <t>991002063749702656</t>
        </is>
      </c>
      <c r="AZ570" t="inlineStr">
        <is>
          <t>991002063749702656</t>
        </is>
      </c>
      <c r="BA570" t="inlineStr">
        <is>
          <t>2268616100002656</t>
        </is>
      </c>
      <c r="BB570" t="inlineStr">
        <is>
          <t>BOOK</t>
        </is>
      </c>
      <c r="BE570" t="inlineStr">
        <is>
          <t>32285002518297</t>
        </is>
      </c>
      <c r="BF570" t="inlineStr">
        <is>
          <t>893444938</t>
        </is>
      </c>
    </row>
    <row r="571">
      <c r="A571" t="inlineStr">
        <is>
          <t>No</t>
        </is>
      </c>
      <c r="B571" t="inlineStr">
        <is>
          <t>CURAL</t>
        </is>
      </c>
      <c r="C571" t="inlineStr">
        <is>
          <t>SHELVES</t>
        </is>
      </c>
      <c r="D571" t="inlineStr">
        <is>
          <t>PQ6321.C7 H39</t>
        </is>
      </c>
      <c r="E571" t="inlineStr">
        <is>
          <t>0                      PQ 6321000C  7                  H  39</t>
        </is>
      </c>
      <c r="F571" t="inlineStr">
        <is>
          <t>Las hazanas del Cid / [edición de] John G. Weiger.</t>
        </is>
      </c>
      <c r="H571" t="inlineStr">
        <is>
          <t>No</t>
        </is>
      </c>
      <c r="I571" t="inlineStr">
        <is>
          <t>1</t>
        </is>
      </c>
      <c r="J571" t="inlineStr">
        <is>
          <t>No</t>
        </is>
      </c>
      <c r="K571" t="inlineStr">
        <is>
          <t>No</t>
        </is>
      </c>
      <c r="L571" t="inlineStr">
        <is>
          <t>0</t>
        </is>
      </c>
      <c r="M571" t="inlineStr">
        <is>
          <t>Castro, Guillén de, 1569-1631.</t>
        </is>
      </c>
      <c r="N571" t="inlineStr">
        <is>
          <t>Barcelona : Puvill, c1980.</t>
        </is>
      </c>
      <c r="O571" t="inlineStr">
        <is>
          <t>1980</t>
        </is>
      </c>
      <c r="Q571" t="inlineStr">
        <is>
          <t>spa</t>
        </is>
      </c>
      <c r="R571" t="inlineStr">
        <is>
          <t xml:space="preserve">sp </t>
        </is>
      </c>
      <c r="S571" t="inlineStr">
        <is>
          <t>Biblioteca universitaria Puvill. 2, Ensayos ; 5</t>
        </is>
      </c>
      <c r="T571" t="inlineStr">
        <is>
          <t xml:space="preserve">PQ </t>
        </is>
      </c>
      <c r="U571" t="n">
        <v>4</v>
      </c>
      <c r="V571" t="n">
        <v>4</v>
      </c>
      <c r="W571" t="inlineStr">
        <is>
          <t>2001-09-28</t>
        </is>
      </c>
      <c r="X571" t="inlineStr">
        <is>
          <t>2001-09-28</t>
        </is>
      </c>
      <c r="Y571" t="inlineStr">
        <is>
          <t>1991-06-06</t>
        </is>
      </c>
      <c r="Z571" t="inlineStr">
        <is>
          <t>1991-06-06</t>
        </is>
      </c>
      <c r="AA571" t="n">
        <v>127</v>
      </c>
      <c r="AB571" t="n">
        <v>91</v>
      </c>
      <c r="AC571" t="n">
        <v>93</v>
      </c>
      <c r="AD571" t="n">
        <v>1</v>
      </c>
      <c r="AE571" t="n">
        <v>1</v>
      </c>
      <c r="AF571" t="n">
        <v>4</v>
      </c>
      <c r="AG571" t="n">
        <v>4</v>
      </c>
      <c r="AH571" t="n">
        <v>1</v>
      </c>
      <c r="AI571" t="n">
        <v>1</v>
      </c>
      <c r="AJ571" t="n">
        <v>1</v>
      </c>
      <c r="AK571" t="n">
        <v>1</v>
      </c>
      <c r="AL571" t="n">
        <v>4</v>
      </c>
      <c r="AM571" t="n">
        <v>4</v>
      </c>
      <c r="AN571" t="n">
        <v>0</v>
      </c>
      <c r="AO571" t="n">
        <v>0</v>
      </c>
      <c r="AP571" t="n">
        <v>0</v>
      </c>
      <c r="AQ571" t="n">
        <v>0</v>
      </c>
      <c r="AR571" t="inlineStr">
        <is>
          <t>No</t>
        </is>
      </c>
      <c r="AS571" t="inlineStr">
        <is>
          <t>Yes</t>
        </is>
      </c>
      <c r="AT571">
        <f>HYPERLINK("http://catalog.hathitrust.org/Record/000204036","HathiTrust Record")</f>
        <v/>
      </c>
      <c r="AU571">
        <f>HYPERLINK("https://creighton-primo.hosted.exlibrisgroup.com/primo-explore/search?tab=default_tab&amp;search_scope=EVERYTHING&amp;vid=01CRU&amp;lang=en_US&amp;offset=0&amp;query=any,contains,991005209199702656","Catalog Record")</f>
        <v/>
      </c>
      <c r="AV571">
        <f>HYPERLINK("http://www.worldcat.org/oclc/8143033","WorldCat Record")</f>
        <v/>
      </c>
      <c r="AW571" t="inlineStr">
        <is>
          <t>31283368:spa</t>
        </is>
      </c>
      <c r="AX571" t="inlineStr">
        <is>
          <t>8143033</t>
        </is>
      </c>
      <c r="AY571" t="inlineStr">
        <is>
          <t>991005209199702656</t>
        </is>
      </c>
      <c r="AZ571" t="inlineStr">
        <is>
          <t>991005209199702656</t>
        </is>
      </c>
      <c r="BA571" t="inlineStr">
        <is>
          <t>2270887580002656</t>
        </is>
      </c>
      <c r="BB571" t="inlineStr">
        <is>
          <t>BOOK</t>
        </is>
      </c>
      <c r="BD571" t="inlineStr">
        <is>
          <t>9788485202249</t>
        </is>
      </c>
      <c r="BE571" t="inlineStr">
        <is>
          <t>32285000599364</t>
        </is>
      </c>
      <c r="BF571" t="inlineStr">
        <is>
          <t>893431046</t>
        </is>
      </c>
    </row>
    <row r="572">
      <c r="A572" t="inlineStr">
        <is>
          <t>No</t>
        </is>
      </c>
      <c r="B572" t="inlineStr">
        <is>
          <t>CURAL</t>
        </is>
      </c>
      <c r="C572" t="inlineStr">
        <is>
          <t>SHELVES</t>
        </is>
      </c>
      <c r="D572" t="inlineStr">
        <is>
          <t>PQ6324.C7 J3</t>
        </is>
      </c>
      <c r="E572" t="inlineStr">
        <is>
          <t>0                      PQ 6324000C  7                  J  3</t>
        </is>
      </c>
      <c r="F572" t="inlineStr">
        <is>
          <t>El coloquio de los perros a una nueva luz / Marja Ludwika Jarocka.</t>
        </is>
      </c>
      <c r="H572" t="inlineStr">
        <is>
          <t>No</t>
        </is>
      </c>
      <c r="I572" t="inlineStr">
        <is>
          <t>1</t>
        </is>
      </c>
      <c r="J572" t="inlineStr">
        <is>
          <t>No</t>
        </is>
      </c>
      <c r="K572" t="inlineStr">
        <is>
          <t>No</t>
        </is>
      </c>
      <c r="L572" t="inlineStr">
        <is>
          <t>0</t>
        </is>
      </c>
      <c r="M572" t="inlineStr">
        <is>
          <t>Jarocka, Marja Ludwika.</t>
        </is>
      </c>
      <c r="N572" t="inlineStr">
        <is>
          <t>Ciudad Universitaria, México, D.F. : Universidad Nacional Autónoma de México, 1979.</t>
        </is>
      </c>
      <c r="O572" t="inlineStr">
        <is>
          <t>1979</t>
        </is>
      </c>
      <c r="P572" t="inlineStr">
        <is>
          <t>1a ed.</t>
        </is>
      </c>
      <c r="Q572" t="inlineStr">
        <is>
          <t>spa</t>
        </is>
      </c>
      <c r="R572" t="inlineStr">
        <is>
          <t xml:space="preserve">mx </t>
        </is>
      </c>
      <c r="T572" t="inlineStr">
        <is>
          <t xml:space="preserve">PQ </t>
        </is>
      </c>
      <c r="U572" t="n">
        <v>3</v>
      </c>
      <c r="V572" t="n">
        <v>3</v>
      </c>
      <c r="W572" t="inlineStr">
        <is>
          <t>1999-11-17</t>
        </is>
      </c>
      <c r="X572" t="inlineStr">
        <is>
          <t>1999-11-17</t>
        </is>
      </c>
      <c r="Y572" t="inlineStr">
        <is>
          <t>1991-06-06</t>
        </is>
      </c>
      <c r="Z572" t="inlineStr">
        <is>
          <t>1991-06-06</t>
        </is>
      </c>
      <c r="AA572" t="n">
        <v>63</v>
      </c>
      <c r="AB572" t="n">
        <v>32</v>
      </c>
      <c r="AC572" t="n">
        <v>34</v>
      </c>
      <c r="AD572" t="n">
        <v>1</v>
      </c>
      <c r="AE572" t="n">
        <v>1</v>
      </c>
      <c r="AF572" t="n">
        <v>1</v>
      </c>
      <c r="AG572" t="n">
        <v>1</v>
      </c>
      <c r="AH572" t="n">
        <v>0</v>
      </c>
      <c r="AI572" t="n">
        <v>0</v>
      </c>
      <c r="AJ572" t="n">
        <v>1</v>
      </c>
      <c r="AK572" t="n">
        <v>1</v>
      </c>
      <c r="AL572" t="n">
        <v>1</v>
      </c>
      <c r="AM572" t="n">
        <v>1</v>
      </c>
      <c r="AN572" t="n">
        <v>0</v>
      </c>
      <c r="AO572" t="n">
        <v>0</v>
      </c>
      <c r="AP572" t="n">
        <v>0</v>
      </c>
      <c r="AQ572" t="n">
        <v>0</v>
      </c>
      <c r="AR572" t="inlineStr">
        <is>
          <t>No</t>
        </is>
      </c>
      <c r="AS572" t="inlineStr">
        <is>
          <t>Yes</t>
        </is>
      </c>
      <c r="AT572">
        <f>HYPERLINK("http://catalog.hathitrust.org/Record/101094521","HathiTrust Record")</f>
        <v/>
      </c>
      <c r="AU572">
        <f>HYPERLINK("https://creighton-primo.hosted.exlibrisgroup.com/primo-explore/search?tab=default_tab&amp;search_scope=EVERYTHING&amp;vid=01CRU&amp;lang=en_US&amp;offset=0&amp;query=any,contains,991005249179702656","Catalog Record")</f>
        <v/>
      </c>
      <c r="AV572">
        <f>HYPERLINK("http://www.worldcat.org/oclc/8476259","WorldCat Record")</f>
        <v/>
      </c>
      <c r="AW572" t="inlineStr">
        <is>
          <t>365401385:spa</t>
        </is>
      </c>
      <c r="AX572" t="inlineStr">
        <is>
          <t>8476259</t>
        </is>
      </c>
      <c r="AY572" t="inlineStr">
        <is>
          <t>991005249179702656</t>
        </is>
      </c>
      <c r="AZ572" t="inlineStr">
        <is>
          <t>991005249179702656</t>
        </is>
      </c>
      <c r="BA572" t="inlineStr">
        <is>
          <t>2257811870002656</t>
        </is>
      </c>
      <c r="BB572" t="inlineStr">
        <is>
          <t>BOOK</t>
        </is>
      </c>
      <c r="BD572" t="inlineStr">
        <is>
          <t>9789685826334</t>
        </is>
      </c>
      <c r="BE572" t="inlineStr">
        <is>
          <t>32285000599380</t>
        </is>
      </c>
      <c r="BF572" t="inlineStr">
        <is>
          <t>893443660</t>
        </is>
      </c>
    </row>
    <row r="573">
      <c r="A573" t="inlineStr">
        <is>
          <t>No</t>
        </is>
      </c>
      <c r="B573" t="inlineStr">
        <is>
          <t>CURAL</t>
        </is>
      </c>
      <c r="C573" t="inlineStr">
        <is>
          <t>SHELVES</t>
        </is>
      </c>
      <c r="D573" t="inlineStr">
        <is>
          <t>PQ6334 .L5 1967</t>
        </is>
      </c>
      <c r="E573" t="inlineStr">
        <is>
          <t>0                      PQ 6334000L  5           1967</t>
        </is>
      </c>
      <c r="F573" t="inlineStr">
        <is>
          <t>Smollett's hoax : Don Quixote in English / [Stanford, Stanford, University Press, 1956]</t>
        </is>
      </c>
      <c r="H573" t="inlineStr">
        <is>
          <t>No</t>
        </is>
      </c>
      <c r="I573" t="inlineStr">
        <is>
          <t>1</t>
        </is>
      </c>
      <c r="J573" t="inlineStr">
        <is>
          <t>No</t>
        </is>
      </c>
      <c r="K573" t="inlineStr">
        <is>
          <t>No</t>
        </is>
      </c>
      <c r="L573" t="inlineStr">
        <is>
          <t>0</t>
        </is>
      </c>
      <c r="M573" t="inlineStr">
        <is>
          <t>Rocco Linsalata, Carmine.</t>
        </is>
      </c>
      <c r="N573" t="inlineStr">
        <is>
          <t>New York : AMS Press, 1967.</t>
        </is>
      </c>
      <c r="O573" t="inlineStr">
        <is>
          <t>1967</t>
        </is>
      </c>
      <c r="Q573" t="inlineStr">
        <is>
          <t>eng</t>
        </is>
      </c>
      <c r="R573" t="inlineStr">
        <is>
          <t>nyu</t>
        </is>
      </c>
      <c r="S573" t="inlineStr">
        <is>
          <t>Stanford University publications. University series. Language and literature, v.14</t>
        </is>
      </c>
      <c r="T573" t="inlineStr">
        <is>
          <t xml:space="preserve">PQ </t>
        </is>
      </c>
      <c r="U573" t="n">
        <v>5</v>
      </c>
      <c r="V573" t="n">
        <v>5</v>
      </c>
      <c r="W573" t="inlineStr">
        <is>
          <t>1995-11-27</t>
        </is>
      </c>
      <c r="X573" t="inlineStr">
        <is>
          <t>1995-11-27</t>
        </is>
      </c>
      <c r="Y573" t="inlineStr">
        <is>
          <t>1994-11-29</t>
        </is>
      </c>
      <c r="Z573" t="inlineStr">
        <is>
          <t>1994-11-29</t>
        </is>
      </c>
      <c r="AA573" t="n">
        <v>121</v>
      </c>
      <c r="AB573" t="n">
        <v>112</v>
      </c>
      <c r="AC573" t="n">
        <v>393</v>
      </c>
      <c r="AD573" t="n">
        <v>1</v>
      </c>
      <c r="AE573" t="n">
        <v>3</v>
      </c>
      <c r="AF573" t="n">
        <v>4</v>
      </c>
      <c r="AG573" t="n">
        <v>18</v>
      </c>
      <c r="AH573" t="n">
        <v>3</v>
      </c>
      <c r="AI573" t="n">
        <v>6</v>
      </c>
      <c r="AJ573" t="n">
        <v>1</v>
      </c>
      <c r="AK573" t="n">
        <v>4</v>
      </c>
      <c r="AL573" t="n">
        <v>2</v>
      </c>
      <c r="AM573" t="n">
        <v>12</v>
      </c>
      <c r="AN573" t="n">
        <v>0</v>
      </c>
      <c r="AO573" t="n">
        <v>2</v>
      </c>
      <c r="AP573" t="n">
        <v>0</v>
      </c>
      <c r="AQ573" t="n">
        <v>0</v>
      </c>
      <c r="AR573" t="inlineStr">
        <is>
          <t>No</t>
        </is>
      </c>
      <c r="AS573" t="inlineStr">
        <is>
          <t>Yes</t>
        </is>
      </c>
      <c r="AT573">
        <f>HYPERLINK("http://catalog.hathitrust.org/Record/007059754","HathiTrust Record")</f>
        <v/>
      </c>
      <c r="AU573">
        <f>HYPERLINK("https://creighton-primo.hosted.exlibrisgroup.com/primo-explore/search?tab=default_tab&amp;search_scope=EVERYTHING&amp;vid=01CRU&amp;lang=en_US&amp;offset=0&amp;query=any,contains,991002879799702656","Catalog Record")</f>
        <v/>
      </c>
      <c r="AV573">
        <f>HYPERLINK("http://www.worldcat.org/oclc/504915","WorldCat Record")</f>
        <v/>
      </c>
      <c r="AW573" t="inlineStr">
        <is>
          <t>1446301:eng</t>
        </is>
      </c>
      <c r="AX573" t="inlineStr">
        <is>
          <t>504915</t>
        </is>
      </c>
      <c r="AY573" t="inlineStr">
        <is>
          <t>991002879799702656</t>
        </is>
      </c>
      <c r="AZ573" t="inlineStr">
        <is>
          <t>991002879799702656</t>
        </is>
      </c>
      <c r="BA573" t="inlineStr">
        <is>
          <t>2260838380002656</t>
        </is>
      </c>
      <c r="BB573" t="inlineStr">
        <is>
          <t>BOOK</t>
        </is>
      </c>
      <c r="BE573" t="inlineStr">
        <is>
          <t>32285001968774</t>
        </is>
      </c>
      <c r="BF573" t="inlineStr">
        <is>
          <t>893434407</t>
        </is>
      </c>
    </row>
    <row r="574">
      <c r="A574" t="inlineStr">
        <is>
          <t>No</t>
        </is>
      </c>
      <c r="B574" t="inlineStr">
        <is>
          <t>CURAL</t>
        </is>
      </c>
      <c r="C574" t="inlineStr">
        <is>
          <t>SHELVES</t>
        </is>
      </c>
      <c r="D574" t="inlineStr">
        <is>
          <t>PQ6337 .C13</t>
        </is>
      </c>
      <c r="E574" t="inlineStr">
        <is>
          <t>0                      PQ 6337000C  13</t>
        </is>
      </c>
      <c r="F574" t="inlineStr">
        <is>
          <t>Cervantes : del mito al hombre.</t>
        </is>
      </c>
      <c r="H574" t="inlineStr">
        <is>
          <t>No</t>
        </is>
      </c>
      <c r="I574" t="inlineStr">
        <is>
          <t>1</t>
        </is>
      </c>
      <c r="J574" t="inlineStr">
        <is>
          <t>No</t>
        </is>
      </c>
      <c r="K574" t="inlineStr">
        <is>
          <t>No</t>
        </is>
      </c>
      <c r="L574" t="inlineStr">
        <is>
          <t>0</t>
        </is>
      </c>
      <c r="M574" t="inlineStr">
        <is>
          <t>Cabezas, Juan Antonio, 1900-1993.</t>
        </is>
      </c>
      <c r="N574" t="inlineStr">
        <is>
          <t>Madrid : Biblioteca Nueva, 1967.</t>
        </is>
      </c>
      <c r="O574" t="inlineStr">
        <is>
          <t>1967</t>
        </is>
      </c>
      <c r="Q574" t="inlineStr">
        <is>
          <t>spa</t>
        </is>
      </c>
      <c r="R574" t="inlineStr">
        <is>
          <t xml:space="preserve">sp </t>
        </is>
      </c>
      <c r="T574" t="inlineStr">
        <is>
          <t xml:space="preserve">PQ </t>
        </is>
      </c>
      <c r="U574" t="n">
        <v>3</v>
      </c>
      <c r="V574" t="n">
        <v>3</v>
      </c>
      <c r="W574" t="inlineStr">
        <is>
          <t>1996-11-19</t>
        </is>
      </c>
      <c r="X574" t="inlineStr">
        <is>
          <t>1996-11-19</t>
        </is>
      </c>
      <c r="Y574" t="inlineStr">
        <is>
          <t>1992-03-06</t>
        </is>
      </c>
      <c r="Z574" t="inlineStr">
        <is>
          <t>1992-03-06</t>
        </is>
      </c>
      <c r="AA574" t="n">
        <v>275</v>
      </c>
      <c r="AB574" t="n">
        <v>238</v>
      </c>
      <c r="AC574" t="n">
        <v>240</v>
      </c>
      <c r="AD574" t="n">
        <v>2</v>
      </c>
      <c r="AE574" t="n">
        <v>2</v>
      </c>
      <c r="AF574" t="n">
        <v>15</v>
      </c>
      <c r="AG574" t="n">
        <v>15</v>
      </c>
      <c r="AH574" t="n">
        <v>4</v>
      </c>
      <c r="AI574" t="n">
        <v>4</v>
      </c>
      <c r="AJ574" t="n">
        <v>4</v>
      </c>
      <c r="AK574" t="n">
        <v>4</v>
      </c>
      <c r="AL574" t="n">
        <v>9</v>
      </c>
      <c r="AM574" t="n">
        <v>9</v>
      </c>
      <c r="AN574" t="n">
        <v>1</v>
      </c>
      <c r="AO574" t="n">
        <v>1</v>
      </c>
      <c r="AP574" t="n">
        <v>0</v>
      </c>
      <c r="AQ574" t="n">
        <v>0</v>
      </c>
      <c r="AR574" t="inlineStr">
        <is>
          <t>No</t>
        </is>
      </c>
      <c r="AS574" t="inlineStr">
        <is>
          <t>Yes</t>
        </is>
      </c>
      <c r="AT574">
        <f>HYPERLINK("http://catalog.hathitrust.org/Record/001519805","HathiTrust Record")</f>
        <v/>
      </c>
      <c r="AU574">
        <f>HYPERLINK("https://creighton-primo.hosted.exlibrisgroup.com/primo-explore/search?tab=default_tab&amp;search_scope=EVERYTHING&amp;vid=01CRU&amp;lang=en_US&amp;offset=0&amp;query=any,contains,991003073119702656","Catalog Record")</f>
        <v/>
      </c>
      <c r="AV574">
        <f>HYPERLINK("http://www.worldcat.org/oclc/627463","WorldCat Record")</f>
        <v/>
      </c>
      <c r="AW574" t="inlineStr">
        <is>
          <t>1723844:spa</t>
        </is>
      </c>
      <c r="AX574" t="inlineStr">
        <is>
          <t>627463</t>
        </is>
      </c>
      <c r="AY574" t="inlineStr">
        <is>
          <t>991003073119702656</t>
        </is>
      </c>
      <c r="AZ574" t="inlineStr">
        <is>
          <t>991003073119702656</t>
        </is>
      </c>
      <c r="BA574" t="inlineStr">
        <is>
          <t>2257797190002656</t>
        </is>
      </c>
      <c r="BB574" t="inlineStr">
        <is>
          <t>BOOK</t>
        </is>
      </c>
      <c r="BE574" t="inlineStr">
        <is>
          <t>32285000992445</t>
        </is>
      </c>
      <c r="BF574" t="inlineStr">
        <is>
          <t>893809815</t>
        </is>
      </c>
    </row>
    <row r="575">
      <c r="A575" t="inlineStr">
        <is>
          <t>No</t>
        </is>
      </c>
      <c r="B575" t="inlineStr">
        <is>
          <t>CURAL</t>
        </is>
      </c>
      <c r="C575" t="inlineStr">
        <is>
          <t>SHELVES</t>
        </is>
      </c>
      <c r="D575" t="inlineStr">
        <is>
          <t>PQ6337 .S55 2000</t>
        </is>
      </c>
      <c r="E575" t="inlineStr">
        <is>
          <t>0                      PQ 6337000S  55          2000</t>
        </is>
      </c>
      <c r="F575" t="inlineStr">
        <is>
          <t>Documentos cervantinos : nueva recopilaciaon, lista e aindices / K. Sliwa.</t>
        </is>
      </c>
      <c r="H575" t="inlineStr">
        <is>
          <t>No</t>
        </is>
      </c>
      <c r="I575" t="inlineStr">
        <is>
          <t>1</t>
        </is>
      </c>
      <c r="J575" t="inlineStr">
        <is>
          <t>No</t>
        </is>
      </c>
      <c r="K575" t="inlineStr">
        <is>
          <t>No</t>
        </is>
      </c>
      <c r="L575" t="inlineStr">
        <is>
          <t>0</t>
        </is>
      </c>
      <c r="M575" t="inlineStr">
        <is>
          <t>Sliwa, Krzysztof, 1964-</t>
        </is>
      </c>
      <c r="N575" t="inlineStr">
        <is>
          <t>New York : Peter Lang, c2000.</t>
        </is>
      </c>
      <c r="O575" t="inlineStr">
        <is>
          <t>2000</t>
        </is>
      </c>
      <c r="Q575" t="inlineStr">
        <is>
          <t>spa</t>
        </is>
      </c>
      <c r="R575" t="inlineStr">
        <is>
          <t>nyu</t>
        </is>
      </c>
      <c r="S575" t="inlineStr">
        <is>
          <t>Studies on Cervantes and his times, 1054-1403 ; vol. 9</t>
        </is>
      </c>
      <c r="T575" t="inlineStr">
        <is>
          <t xml:space="preserve">PQ </t>
        </is>
      </c>
      <c r="U575" t="n">
        <v>3</v>
      </c>
      <c r="V575" t="n">
        <v>3</v>
      </c>
      <c r="W575" t="inlineStr">
        <is>
          <t>2001-05-16</t>
        </is>
      </c>
      <c r="X575" t="inlineStr">
        <is>
          <t>2001-05-16</t>
        </is>
      </c>
      <c r="Y575" t="inlineStr">
        <is>
          <t>2001-04-02</t>
        </is>
      </c>
      <c r="Z575" t="inlineStr">
        <is>
          <t>2001-04-02</t>
        </is>
      </c>
      <c r="AA575" t="n">
        <v>115</v>
      </c>
      <c r="AB575" t="n">
        <v>84</v>
      </c>
      <c r="AC575" t="n">
        <v>86</v>
      </c>
      <c r="AD575" t="n">
        <v>2</v>
      </c>
      <c r="AE575" t="n">
        <v>2</v>
      </c>
      <c r="AF575" t="n">
        <v>4</v>
      </c>
      <c r="AG575" t="n">
        <v>4</v>
      </c>
      <c r="AH575" t="n">
        <v>0</v>
      </c>
      <c r="AI575" t="n">
        <v>0</v>
      </c>
      <c r="AJ575" t="n">
        <v>2</v>
      </c>
      <c r="AK575" t="n">
        <v>2</v>
      </c>
      <c r="AL575" t="n">
        <v>2</v>
      </c>
      <c r="AM575" t="n">
        <v>2</v>
      </c>
      <c r="AN575" t="n">
        <v>1</v>
      </c>
      <c r="AO575" t="n">
        <v>1</v>
      </c>
      <c r="AP575" t="n">
        <v>0</v>
      </c>
      <c r="AQ575" t="n">
        <v>0</v>
      </c>
      <c r="AR575" t="inlineStr">
        <is>
          <t>No</t>
        </is>
      </c>
      <c r="AS575" t="inlineStr">
        <is>
          <t>Yes</t>
        </is>
      </c>
      <c r="AT575">
        <f>HYPERLINK("http://catalog.hathitrust.org/Record/004122020","HathiTrust Record")</f>
        <v/>
      </c>
      <c r="AU575">
        <f>HYPERLINK("https://creighton-primo.hosted.exlibrisgroup.com/primo-explore/search?tab=default_tab&amp;search_scope=EVERYTHING&amp;vid=01CRU&amp;lang=en_US&amp;offset=0&amp;query=any,contains,991003478999702656","Catalog Record")</f>
        <v/>
      </c>
      <c r="AV575">
        <f>HYPERLINK("http://www.worldcat.org/oclc/41035339","WorldCat Record")</f>
        <v/>
      </c>
      <c r="AW575" t="inlineStr">
        <is>
          <t>794498652:spa</t>
        </is>
      </c>
      <c r="AX575" t="inlineStr">
        <is>
          <t>41035339</t>
        </is>
      </c>
      <c r="AY575" t="inlineStr">
        <is>
          <t>991003478999702656</t>
        </is>
      </c>
      <c r="AZ575" t="inlineStr">
        <is>
          <t>991003478999702656</t>
        </is>
      </c>
      <c r="BA575" t="inlineStr">
        <is>
          <t>2257803890002656</t>
        </is>
      </c>
      <c r="BB575" t="inlineStr">
        <is>
          <t>BOOK</t>
        </is>
      </c>
      <c r="BD575" t="inlineStr">
        <is>
          <t>9780820444659</t>
        </is>
      </c>
      <c r="BE575" t="inlineStr">
        <is>
          <t>32285004309109</t>
        </is>
      </c>
      <c r="BF575" t="inlineStr">
        <is>
          <t>893410317</t>
        </is>
      </c>
    </row>
    <row r="576">
      <c r="A576" t="inlineStr">
        <is>
          <t>No</t>
        </is>
      </c>
      <c r="B576" t="inlineStr">
        <is>
          <t>CURAL</t>
        </is>
      </c>
      <c r="C576" t="inlineStr">
        <is>
          <t>SHELVES</t>
        </is>
      </c>
      <c r="D576" t="inlineStr">
        <is>
          <t>PQ6337 .T6 1964</t>
        </is>
      </c>
      <c r="E576" t="inlineStr">
        <is>
          <t>0                      PQ 6337000T  6           1964</t>
        </is>
      </c>
      <c r="F576" t="inlineStr">
        <is>
          <t>Vida y desventuras de Cervantes.</t>
        </is>
      </c>
      <c r="H576" t="inlineStr">
        <is>
          <t>No</t>
        </is>
      </c>
      <c r="I576" t="inlineStr">
        <is>
          <t>1</t>
        </is>
      </c>
      <c r="J576" t="inlineStr">
        <is>
          <t>No</t>
        </is>
      </c>
      <c r="K576" t="inlineStr">
        <is>
          <t>No</t>
        </is>
      </c>
      <c r="L576" t="inlineStr">
        <is>
          <t>0</t>
        </is>
      </c>
      <c r="M576" t="inlineStr">
        <is>
          <t>Tomás, Mariano, 1891-</t>
        </is>
      </c>
      <c r="N576" t="inlineStr">
        <is>
          <t>Barcelona, Editorial Juventud [c. 1964]</t>
        </is>
      </c>
      <c r="O576" t="inlineStr">
        <is>
          <t>1964</t>
        </is>
      </c>
      <c r="Q576" t="inlineStr">
        <is>
          <t>spa</t>
        </is>
      </c>
      <c r="R576" t="inlineStr">
        <is>
          <t xml:space="preserve">sp </t>
        </is>
      </c>
      <c r="S576" t="inlineStr">
        <is>
          <t>Colección Z, No. 101</t>
        </is>
      </c>
      <c r="T576" t="inlineStr">
        <is>
          <t xml:space="preserve">PQ </t>
        </is>
      </c>
      <c r="U576" t="n">
        <v>1</v>
      </c>
      <c r="V576" t="n">
        <v>1</v>
      </c>
      <c r="W576" t="inlineStr">
        <is>
          <t>1999-12-04</t>
        </is>
      </c>
      <c r="X576" t="inlineStr">
        <is>
          <t>1999-12-04</t>
        </is>
      </c>
      <c r="Y576" t="inlineStr">
        <is>
          <t>1998-01-28</t>
        </is>
      </c>
      <c r="Z576" t="inlineStr">
        <is>
          <t>1998-01-28</t>
        </is>
      </c>
      <c r="AA576" t="n">
        <v>58</v>
      </c>
      <c r="AB576" t="n">
        <v>52</v>
      </c>
      <c r="AC576" t="n">
        <v>120</v>
      </c>
      <c r="AD576" t="n">
        <v>1</v>
      </c>
      <c r="AE576" t="n">
        <v>2</v>
      </c>
      <c r="AF576" t="n">
        <v>3</v>
      </c>
      <c r="AG576" t="n">
        <v>7</v>
      </c>
      <c r="AH576" t="n">
        <v>1</v>
      </c>
      <c r="AI576" t="n">
        <v>4</v>
      </c>
      <c r="AJ576" t="n">
        <v>1</v>
      </c>
      <c r="AK576" t="n">
        <v>2</v>
      </c>
      <c r="AL576" t="n">
        <v>2</v>
      </c>
      <c r="AM576" t="n">
        <v>4</v>
      </c>
      <c r="AN576" t="n">
        <v>0</v>
      </c>
      <c r="AO576" t="n">
        <v>1</v>
      </c>
      <c r="AP576" t="n">
        <v>0</v>
      </c>
      <c r="AQ576" t="n">
        <v>0</v>
      </c>
      <c r="AR576" t="inlineStr">
        <is>
          <t>No</t>
        </is>
      </c>
      <c r="AS576" t="inlineStr">
        <is>
          <t>Yes</t>
        </is>
      </c>
      <c r="AT576">
        <f>HYPERLINK("http://catalog.hathitrust.org/Record/009509667","HathiTrust Record")</f>
        <v/>
      </c>
      <c r="AU576">
        <f>HYPERLINK("https://creighton-primo.hosted.exlibrisgroup.com/primo-explore/search?tab=default_tab&amp;search_scope=EVERYTHING&amp;vid=01CRU&amp;lang=en_US&amp;offset=0&amp;query=any,contains,991003241589702656","Catalog Record")</f>
        <v/>
      </c>
      <c r="AV576">
        <f>HYPERLINK("http://www.worldcat.org/oclc/764401","WorldCat Record")</f>
        <v/>
      </c>
      <c r="AW576" t="inlineStr">
        <is>
          <t>198757543:spa</t>
        </is>
      </c>
      <c r="AX576" t="inlineStr">
        <is>
          <t>764401</t>
        </is>
      </c>
      <c r="AY576" t="inlineStr">
        <is>
          <t>991003241589702656</t>
        </is>
      </c>
      <c r="AZ576" t="inlineStr">
        <is>
          <t>991003241589702656</t>
        </is>
      </c>
      <c r="BA576" t="inlineStr">
        <is>
          <t>2268404260002656</t>
        </is>
      </c>
      <c r="BB576" t="inlineStr">
        <is>
          <t>BOOK</t>
        </is>
      </c>
      <c r="BE576" t="inlineStr">
        <is>
          <t>32285003335352</t>
        </is>
      </c>
      <c r="BF576" t="inlineStr">
        <is>
          <t>893809887</t>
        </is>
      </c>
    </row>
    <row r="577">
      <c r="A577" t="inlineStr">
        <is>
          <t>No</t>
        </is>
      </c>
      <c r="B577" t="inlineStr">
        <is>
          <t>CURAL</t>
        </is>
      </c>
      <c r="C577" t="inlineStr">
        <is>
          <t>SHELVES</t>
        </is>
      </c>
      <c r="D577" t="inlineStr">
        <is>
          <t>PQ6338.A4 L49 2001</t>
        </is>
      </c>
      <c r="E577" t="inlineStr">
        <is>
          <t>0                      PQ 6338000A  4                  L  49          2001</t>
        </is>
      </c>
      <c r="F577" t="inlineStr">
        <is>
          <t>El licenciado Juan de Cervantes : efemérides del licenciado Juan de Cervantes ; documentos y datos para una biografía del abuelo paterno del autor del Quijote / Krzysztof Sliwa ; prólogo por Juan Bautista de Avalle-Arce.</t>
        </is>
      </c>
      <c r="H577" t="inlineStr">
        <is>
          <t>No</t>
        </is>
      </c>
      <c r="I577" t="inlineStr">
        <is>
          <t>1</t>
        </is>
      </c>
      <c r="J577" t="inlineStr">
        <is>
          <t>No</t>
        </is>
      </c>
      <c r="K577" t="inlineStr">
        <is>
          <t>No</t>
        </is>
      </c>
      <c r="L577" t="inlineStr">
        <is>
          <t>0</t>
        </is>
      </c>
      <c r="N577" t="inlineStr">
        <is>
          <t>Kassel [Germany] : Ed. Reichenberger, 2001.</t>
        </is>
      </c>
      <c r="O577" t="inlineStr">
        <is>
          <t>2001</t>
        </is>
      </c>
      <c r="Q577" t="inlineStr">
        <is>
          <t>spa</t>
        </is>
      </c>
      <c r="R577" t="inlineStr">
        <is>
          <t xml:space="preserve">gw </t>
        </is>
      </c>
      <c r="S577" t="inlineStr">
        <is>
          <t>Teatro del Siglo de Oro. Estudios de literatura ; 63</t>
        </is>
      </c>
      <c r="T577" t="inlineStr">
        <is>
          <t xml:space="preserve">PQ </t>
        </is>
      </c>
      <c r="U577" t="n">
        <v>2</v>
      </c>
      <c r="V577" t="n">
        <v>2</v>
      </c>
      <c r="W577" t="inlineStr">
        <is>
          <t>2004-01-06</t>
        </is>
      </c>
      <c r="X577" t="inlineStr">
        <is>
          <t>2004-01-06</t>
        </is>
      </c>
      <c r="Y577" t="inlineStr">
        <is>
          <t>2004-01-06</t>
        </is>
      </c>
      <c r="Z577" t="inlineStr">
        <is>
          <t>2004-01-06</t>
        </is>
      </c>
      <c r="AA577" t="n">
        <v>135</v>
      </c>
      <c r="AB577" t="n">
        <v>106</v>
      </c>
      <c r="AC577" t="n">
        <v>108</v>
      </c>
      <c r="AD577" t="n">
        <v>2</v>
      </c>
      <c r="AE577" t="n">
        <v>2</v>
      </c>
      <c r="AF577" t="n">
        <v>3</v>
      </c>
      <c r="AG577" t="n">
        <v>3</v>
      </c>
      <c r="AH577" t="n">
        <v>0</v>
      </c>
      <c r="AI577" t="n">
        <v>0</v>
      </c>
      <c r="AJ577" t="n">
        <v>1</v>
      </c>
      <c r="AK577" t="n">
        <v>1</v>
      </c>
      <c r="AL577" t="n">
        <v>2</v>
      </c>
      <c r="AM577" t="n">
        <v>2</v>
      </c>
      <c r="AN577" t="n">
        <v>1</v>
      </c>
      <c r="AO577" t="n">
        <v>1</v>
      </c>
      <c r="AP577" t="n">
        <v>0</v>
      </c>
      <c r="AQ577" t="n">
        <v>0</v>
      </c>
      <c r="AR577" t="inlineStr">
        <is>
          <t>No</t>
        </is>
      </c>
      <c r="AS577" t="inlineStr">
        <is>
          <t>Yes</t>
        </is>
      </c>
      <c r="AT577">
        <f>HYPERLINK("http://catalog.hathitrust.org/Record/004278054","HathiTrust Record")</f>
        <v/>
      </c>
      <c r="AU577">
        <f>HYPERLINK("https://creighton-primo.hosted.exlibrisgroup.com/primo-explore/search?tab=default_tab&amp;search_scope=EVERYTHING&amp;vid=01CRU&amp;lang=en_US&amp;offset=0&amp;query=any,contains,991004211939702656","Catalog Record")</f>
        <v/>
      </c>
      <c r="AV577">
        <f>HYPERLINK("http://www.worldcat.org/oclc/47052840","WorldCat Record")</f>
        <v/>
      </c>
      <c r="AW577" t="inlineStr">
        <is>
          <t>664352762:spa</t>
        </is>
      </c>
      <c r="AX577" t="inlineStr">
        <is>
          <t>47052840</t>
        </is>
      </c>
      <c r="AY577" t="inlineStr">
        <is>
          <t>991004211939702656</t>
        </is>
      </c>
      <c r="AZ577" t="inlineStr">
        <is>
          <t>991004211939702656</t>
        </is>
      </c>
      <c r="BA577" t="inlineStr">
        <is>
          <t>2268915940002656</t>
        </is>
      </c>
      <c r="BB577" t="inlineStr">
        <is>
          <t>BOOK</t>
        </is>
      </c>
      <c r="BD577" t="inlineStr">
        <is>
          <t>9783935004169</t>
        </is>
      </c>
      <c r="BE577" t="inlineStr">
        <is>
          <t>32285004849021</t>
        </is>
      </c>
      <c r="BF577" t="inlineStr">
        <is>
          <t>893423515</t>
        </is>
      </c>
    </row>
    <row r="578">
      <c r="A578" t="inlineStr">
        <is>
          <t>No</t>
        </is>
      </c>
      <c r="B578" t="inlineStr">
        <is>
          <t>CURAL</t>
        </is>
      </c>
      <c r="C578" t="inlineStr">
        <is>
          <t>SHELVES</t>
        </is>
      </c>
      <c r="D578" t="inlineStr">
        <is>
          <t>PQ6345 .R6 1954</t>
        </is>
      </c>
      <c r="E578" t="inlineStr">
        <is>
          <t>0                      PQ 6345000R  6           1954</t>
        </is>
      </c>
      <c r="F578" t="inlineStr">
        <is>
          <t>Autógrafos cervantinos : estudio / por M. Romera-Navarro.</t>
        </is>
      </c>
      <c r="H578" t="inlineStr">
        <is>
          <t>No</t>
        </is>
      </c>
      <c r="I578" t="inlineStr">
        <is>
          <t>1</t>
        </is>
      </c>
      <c r="J578" t="inlineStr">
        <is>
          <t>No</t>
        </is>
      </c>
      <c r="K578" t="inlineStr">
        <is>
          <t>No</t>
        </is>
      </c>
      <c r="L578" t="inlineStr">
        <is>
          <t>0</t>
        </is>
      </c>
      <c r="M578" t="inlineStr">
        <is>
          <t>Romera-Navarro, Miguel, 1888-1954.</t>
        </is>
      </c>
      <c r="N578" t="inlineStr">
        <is>
          <t>[Austin] : University of Texas, 1954.</t>
        </is>
      </c>
      <c r="O578" t="inlineStr">
        <is>
          <t>1954</t>
        </is>
      </c>
      <c r="Q578" t="inlineStr">
        <is>
          <t>spa</t>
        </is>
      </c>
      <c r="R578" t="inlineStr">
        <is>
          <t>txu</t>
        </is>
      </c>
      <c r="S578" t="inlineStr">
        <is>
          <t>University of Texas Hispanic studies, v. 6</t>
        </is>
      </c>
      <c r="T578" t="inlineStr">
        <is>
          <t xml:space="preserve">PQ </t>
        </is>
      </c>
      <c r="U578" t="n">
        <v>1</v>
      </c>
      <c r="V578" t="n">
        <v>1</v>
      </c>
      <c r="W578" t="inlineStr">
        <is>
          <t>2005-04-06</t>
        </is>
      </c>
      <c r="X578" t="inlineStr">
        <is>
          <t>2005-04-06</t>
        </is>
      </c>
      <c r="Y578" t="inlineStr">
        <is>
          <t>2005-04-06</t>
        </is>
      </c>
      <c r="Z578" t="inlineStr">
        <is>
          <t>2005-04-06</t>
        </is>
      </c>
      <c r="AA578" t="n">
        <v>64</v>
      </c>
      <c r="AB578" t="n">
        <v>60</v>
      </c>
      <c r="AC578" t="n">
        <v>61</v>
      </c>
      <c r="AD578" t="n">
        <v>2</v>
      </c>
      <c r="AE578" t="n">
        <v>2</v>
      </c>
      <c r="AF578" t="n">
        <v>2</v>
      </c>
      <c r="AG578" t="n">
        <v>2</v>
      </c>
      <c r="AH578" t="n">
        <v>1</v>
      </c>
      <c r="AI578" t="n">
        <v>1</v>
      </c>
      <c r="AJ578" t="n">
        <v>0</v>
      </c>
      <c r="AK578" t="n">
        <v>0</v>
      </c>
      <c r="AL578" t="n">
        <v>1</v>
      </c>
      <c r="AM578" t="n">
        <v>1</v>
      </c>
      <c r="AN578" t="n">
        <v>1</v>
      </c>
      <c r="AO578" t="n">
        <v>1</v>
      </c>
      <c r="AP578" t="n">
        <v>0</v>
      </c>
      <c r="AQ578" t="n">
        <v>0</v>
      </c>
      <c r="AR578" t="inlineStr">
        <is>
          <t>No</t>
        </is>
      </c>
      <c r="AS578" t="inlineStr">
        <is>
          <t>Yes</t>
        </is>
      </c>
      <c r="AT578">
        <f>HYPERLINK("http://catalog.hathitrust.org/Record/001680321","HathiTrust Record")</f>
        <v/>
      </c>
      <c r="AU578">
        <f>HYPERLINK("https://creighton-primo.hosted.exlibrisgroup.com/primo-explore/search?tab=default_tab&amp;search_scope=EVERYTHING&amp;vid=01CRU&amp;lang=en_US&amp;offset=0&amp;query=any,contains,991004523149702656","Catalog Record")</f>
        <v/>
      </c>
      <c r="AV578">
        <f>HYPERLINK("http://www.worldcat.org/oclc/3354788","WorldCat Record")</f>
        <v/>
      </c>
      <c r="AW578" t="inlineStr">
        <is>
          <t>890257204:spa</t>
        </is>
      </c>
      <c r="AX578" t="inlineStr">
        <is>
          <t>3354788</t>
        </is>
      </c>
      <c r="AY578" t="inlineStr">
        <is>
          <t>991004523149702656</t>
        </is>
      </c>
      <c r="AZ578" t="inlineStr">
        <is>
          <t>991004523149702656</t>
        </is>
      </c>
      <c r="BA578" t="inlineStr">
        <is>
          <t>2259956620002656</t>
        </is>
      </c>
      <c r="BB578" t="inlineStr">
        <is>
          <t>BOOK</t>
        </is>
      </c>
      <c r="BE578" t="inlineStr">
        <is>
          <t>32285005048292</t>
        </is>
      </c>
      <c r="BF578" t="inlineStr">
        <is>
          <t>893706533</t>
        </is>
      </c>
    </row>
    <row r="579">
      <c r="A579" t="inlineStr">
        <is>
          <t>No</t>
        </is>
      </c>
      <c r="B579" t="inlineStr">
        <is>
          <t>CURAL</t>
        </is>
      </c>
      <c r="C579" t="inlineStr">
        <is>
          <t>SHELVES</t>
        </is>
      </c>
      <c r="D579" t="inlineStr">
        <is>
          <t>PQ6352 .M67</t>
        </is>
      </c>
      <c r="E579" t="inlineStr">
        <is>
          <t>0                      PQ 6352000M  67</t>
        </is>
      </c>
      <c r="F579" t="inlineStr">
        <is>
          <t>Reflexiones sobre el Quijote.</t>
        </is>
      </c>
      <c r="H579" t="inlineStr">
        <is>
          <t>No</t>
        </is>
      </c>
      <c r="I579" t="inlineStr">
        <is>
          <t>1</t>
        </is>
      </c>
      <c r="J579" t="inlineStr">
        <is>
          <t>No</t>
        </is>
      </c>
      <c r="K579" t="inlineStr">
        <is>
          <t>No</t>
        </is>
      </c>
      <c r="L579" t="inlineStr">
        <is>
          <t>0</t>
        </is>
      </c>
      <c r="M579" t="inlineStr">
        <is>
          <t>Moreno Báez, Enrique.</t>
        </is>
      </c>
      <c r="N579" t="inlineStr">
        <is>
          <t>Madrid, Editorial Prensa Española, 1968.</t>
        </is>
      </c>
      <c r="O579" t="inlineStr">
        <is>
          <t>1968</t>
        </is>
      </c>
      <c r="Q579" t="inlineStr">
        <is>
          <t>spa</t>
        </is>
      </c>
      <c r="R579" t="inlineStr">
        <is>
          <t xml:space="preserve">xx </t>
        </is>
      </c>
      <c r="S579" t="inlineStr">
        <is>
          <t>Colección "Vislumbres" ; no. 13</t>
        </is>
      </c>
      <c r="T579" t="inlineStr">
        <is>
          <t xml:space="preserve">PQ </t>
        </is>
      </c>
      <c r="U579" t="n">
        <v>1</v>
      </c>
      <c r="V579" t="n">
        <v>1</v>
      </c>
      <c r="W579" t="inlineStr">
        <is>
          <t>2003-11-22</t>
        </is>
      </c>
      <c r="X579" t="inlineStr">
        <is>
          <t>2003-11-22</t>
        </is>
      </c>
      <c r="Y579" t="inlineStr">
        <is>
          <t>1997-07-02</t>
        </is>
      </c>
      <c r="Z579" t="inlineStr">
        <is>
          <t>1997-07-02</t>
        </is>
      </c>
      <c r="AA579" t="n">
        <v>142</v>
      </c>
      <c r="AB579" t="n">
        <v>102</v>
      </c>
      <c r="AC579" t="n">
        <v>177</v>
      </c>
      <c r="AD579" t="n">
        <v>2</v>
      </c>
      <c r="AE579" t="n">
        <v>2</v>
      </c>
      <c r="AF579" t="n">
        <v>5</v>
      </c>
      <c r="AG579" t="n">
        <v>9</v>
      </c>
      <c r="AH579" t="n">
        <v>1</v>
      </c>
      <c r="AI579" t="n">
        <v>1</v>
      </c>
      <c r="AJ579" t="n">
        <v>1</v>
      </c>
      <c r="AK579" t="n">
        <v>3</v>
      </c>
      <c r="AL579" t="n">
        <v>3</v>
      </c>
      <c r="AM579" t="n">
        <v>6</v>
      </c>
      <c r="AN579" t="n">
        <v>1</v>
      </c>
      <c r="AO579" t="n">
        <v>1</v>
      </c>
      <c r="AP579" t="n">
        <v>0</v>
      </c>
      <c r="AQ579" t="n">
        <v>0</v>
      </c>
      <c r="AR579" t="inlineStr">
        <is>
          <t>No</t>
        </is>
      </c>
      <c r="AS579" t="inlineStr">
        <is>
          <t>Yes</t>
        </is>
      </c>
      <c r="AT579">
        <f>HYPERLINK("http://catalog.hathitrust.org/Record/001037333","HathiTrust Record")</f>
        <v/>
      </c>
      <c r="AU579">
        <f>HYPERLINK("https://creighton-primo.hosted.exlibrisgroup.com/primo-explore/search?tab=default_tab&amp;search_scope=EVERYTHING&amp;vid=01CRU&amp;lang=en_US&amp;offset=0&amp;query=any,contains,991003142509702656","Catalog Record")</f>
        <v/>
      </c>
      <c r="AV579">
        <f>HYPERLINK("http://www.worldcat.org/oclc/683671","WorldCat Record")</f>
        <v/>
      </c>
      <c r="AW579" t="inlineStr">
        <is>
          <t>1760651:spa</t>
        </is>
      </c>
      <c r="AX579" t="inlineStr">
        <is>
          <t>683671</t>
        </is>
      </c>
      <c r="AY579" t="inlineStr">
        <is>
          <t>991003142509702656</t>
        </is>
      </c>
      <c r="AZ579" t="inlineStr">
        <is>
          <t>991003142509702656</t>
        </is>
      </c>
      <c r="BA579" t="inlineStr">
        <is>
          <t>2265555480002656</t>
        </is>
      </c>
      <c r="BB579" t="inlineStr">
        <is>
          <t>BOOK</t>
        </is>
      </c>
      <c r="BE579" t="inlineStr">
        <is>
          <t>32285002518545</t>
        </is>
      </c>
      <c r="BF579" t="inlineStr">
        <is>
          <t>893868137</t>
        </is>
      </c>
    </row>
    <row r="580">
      <c r="A580" t="inlineStr">
        <is>
          <t>No</t>
        </is>
      </c>
      <c r="B580" t="inlineStr">
        <is>
          <t>CURAL</t>
        </is>
      </c>
      <c r="C580" t="inlineStr">
        <is>
          <t>SHELVES</t>
        </is>
      </c>
      <c r="D580" t="inlineStr">
        <is>
          <t>PQ6353 .C354 1977</t>
        </is>
      </c>
      <c r="E580" t="inlineStr">
        <is>
          <t>0                      PQ 6353000C  354         1977</t>
        </is>
      </c>
      <c r="F580" t="inlineStr">
        <is>
          <t>An idea of history : selected essays of Américo Castro / translated from the Spanish and edited by Stephen Gilman and Edmund L. King ; with an introd. by Roy Harvey Pearce.</t>
        </is>
      </c>
      <c r="H580" t="inlineStr">
        <is>
          <t>No</t>
        </is>
      </c>
      <c r="I580" t="inlineStr">
        <is>
          <t>1</t>
        </is>
      </c>
      <c r="J580" t="inlineStr">
        <is>
          <t>No</t>
        </is>
      </c>
      <c r="K580" t="inlineStr">
        <is>
          <t>No</t>
        </is>
      </c>
      <c r="L580" t="inlineStr">
        <is>
          <t>0</t>
        </is>
      </c>
      <c r="M580" t="inlineStr">
        <is>
          <t>Castro, Américo, 1885-1972.</t>
        </is>
      </c>
      <c r="N580" t="inlineStr">
        <is>
          <t>Columbus : Ohio State University Press, c1977.</t>
        </is>
      </c>
      <c r="O580" t="inlineStr">
        <is>
          <t>1977</t>
        </is>
      </c>
      <c r="Q580" t="inlineStr">
        <is>
          <t>eng</t>
        </is>
      </c>
      <c r="R580" t="inlineStr">
        <is>
          <t>ohu</t>
        </is>
      </c>
      <c r="T580" t="inlineStr">
        <is>
          <t xml:space="preserve">PQ </t>
        </is>
      </c>
      <c r="U580" t="n">
        <v>9</v>
      </c>
      <c r="V580" t="n">
        <v>9</v>
      </c>
      <c r="W580" t="inlineStr">
        <is>
          <t>2003-11-22</t>
        </is>
      </c>
      <c r="X580" t="inlineStr">
        <is>
          <t>2003-11-22</t>
        </is>
      </c>
      <c r="Y580" t="inlineStr">
        <is>
          <t>1997-07-02</t>
        </is>
      </c>
      <c r="Z580" t="inlineStr">
        <is>
          <t>1997-07-02</t>
        </is>
      </c>
      <c r="AA580" t="n">
        <v>379</v>
      </c>
      <c r="AB580" t="n">
        <v>328</v>
      </c>
      <c r="AC580" t="n">
        <v>333</v>
      </c>
      <c r="AD580" t="n">
        <v>4</v>
      </c>
      <c r="AE580" t="n">
        <v>4</v>
      </c>
      <c r="AF580" t="n">
        <v>21</v>
      </c>
      <c r="AG580" t="n">
        <v>22</v>
      </c>
      <c r="AH580" t="n">
        <v>7</v>
      </c>
      <c r="AI580" t="n">
        <v>7</v>
      </c>
      <c r="AJ580" t="n">
        <v>4</v>
      </c>
      <c r="AK580" t="n">
        <v>5</v>
      </c>
      <c r="AL580" t="n">
        <v>10</v>
      </c>
      <c r="AM580" t="n">
        <v>11</v>
      </c>
      <c r="AN580" t="n">
        <v>3</v>
      </c>
      <c r="AO580" t="n">
        <v>3</v>
      </c>
      <c r="AP580" t="n">
        <v>0</v>
      </c>
      <c r="AQ580" t="n">
        <v>0</v>
      </c>
      <c r="AR580" t="inlineStr">
        <is>
          <t>No</t>
        </is>
      </c>
      <c r="AS580" t="inlineStr">
        <is>
          <t>Yes</t>
        </is>
      </c>
      <c r="AT580">
        <f>HYPERLINK("http://catalog.hathitrust.org/Record/000745797","HathiTrust Record")</f>
        <v/>
      </c>
      <c r="AU580">
        <f>HYPERLINK("https://creighton-primo.hosted.exlibrisgroup.com/primo-explore/search?tab=default_tab&amp;search_scope=EVERYTHING&amp;vid=01CRU&amp;lang=en_US&amp;offset=0&amp;query=any,contains,991004129869702656","Catalog Record")</f>
        <v/>
      </c>
      <c r="AV580">
        <f>HYPERLINK("http://www.worldcat.org/oclc/2464613","WorldCat Record")</f>
        <v/>
      </c>
      <c r="AW580" t="inlineStr">
        <is>
          <t>322078404:eng</t>
        </is>
      </c>
      <c r="AX580" t="inlineStr">
        <is>
          <t>2464613</t>
        </is>
      </c>
      <c r="AY580" t="inlineStr">
        <is>
          <t>991004129869702656</t>
        </is>
      </c>
      <c r="AZ580" t="inlineStr">
        <is>
          <t>991004129869702656</t>
        </is>
      </c>
      <c r="BA580" t="inlineStr">
        <is>
          <t>2269094190002656</t>
        </is>
      </c>
      <c r="BB580" t="inlineStr">
        <is>
          <t>BOOK</t>
        </is>
      </c>
      <c r="BD580" t="inlineStr">
        <is>
          <t>9780814202203</t>
        </is>
      </c>
      <c r="BE580" t="inlineStr">
        <is>
          <t>32285002518560</t>
        </is>
      </c>
      <c r="BF580" t="inlineStr">
        <is>
          <t>893241050</t>
        </is>
      </c>
    </row>
    <row r="581">
      <c r="A581" t="inlineStr">
        <is>
          <t>No</t>
        </is>
      </c>
      <c r="B581" t="inlineStr">
        <is>
          <t>CURAL</t>
        </is>
      </c>
      <c r="C581" t="inlineStr">
        <is>
          <t>SHELVES</t>
        </is>
      </c>
      <c r="D581" t="inlineStr">
        <is>
          <t>PQ6353 .S24 1982</t>
        </is>
      </c>
      <c r="E581" t="inlineStr">
        <is>
          <t>0                      PQ 6353000S  24          1982</t>
        </is>
      </c>
      <c r="F581" t="inlineStr">
        <is>
          <t>Una lectura del Quijote desde la visión manierista / Ernestina Salcedo Pizani.</t>
        </is>
      </c>
      <c r="H581" t="inlineStr">
        <is>
          <t>No</t>
        </is>
      </c>
      <c r="I581" t="inlineStr">
        <is>
          <t>1</t>
        </is>
      </c>
      <c r="J581" t="inlineStr">
        <is>
          <t>No</t>
        </is>
      </c>
      <c r="K581" t="inlineStr">
        <is>
          <t>No</t>
        </is>
      </c>
      <c r="L581" t="inlineStr">
        <is>
          <t>0</t>
        </is>
      </c>
      <c r="M581" t="inlineStr">
        <is>
          <t>Salcedo Pizani, Ernestina.</t>
        </is>
      </c>
      <c r="N581" t="inlineStr">
        <is>
          <t>Caracas : Asociación de Escritores de Venezuela, 1982.</t>
        </is>
      </c>
      <c r="O581" t="inlineStr">
        <is>
          <t>1982</t>
        </is>
      </c>
      <c r="Q581" t="inlineStr">
        <is>
          <t>spa</t>
        </is>
      </c>
      <c r="R581" t="inlineStr">
        <is>
          <t xml:space="preserve">ve </t>
        </is>
      </c>
      <c r="S581" t="inlineStr">
        <is>
          <t>Cuadernos literarios de la Asociación de Escritores de Venezuela ; 160</t>
        </is>
      </c>
      <c r="T581" t="inlineStr">
        <is>
          <t xml:space="preserve">PQ </t>
        </is>
      </c>
      <c r="U581" t="n">
        <v>3</v>
      </c>
      <c r="V581" t="n">
        <v>3</v>
      </c>
      <c r="W581" t="inlineStr">
        <is>
          <t>2004-08-04</t>
        </is>
      </c>
      <c r="X581" t="inlineStr">
        <is>
          <t>2004-08-04</t>
        </is>
      </c>
      <c r="Y581" t="inlineStr">
        <is>
          <t>2004-08-04</t>
        </is>
      </c>
      <c r="Z581" t="inlineStr">
        <is>
          <t>2004-08-04</t>
        </is>
      </c>
      <c r="AA581" t="n">
        <v>7</v>
      </c>
      <c r="AB581" t="n">
        <v>7</v>
      </c>
      <c r="AC581" t="n">
        <v>7</v>
      </c>
      <c r="AD581" t="n">
        <v>1</v>
      </c>
      <c r="AE581" t="n">
        <v>1</v>
      </c>
      <c r="AF581" t="n">
        <v>0</v>
      </c>
      <c r="AG581" t="n">
        <v>0</v>
      </c>
      <c r="AH581" t="n">
        <v>0</v>
      </c>
      <c r="AI581" t="n">
        <v>0</v>
      </c>
      <c r="AJ581" t="n">
        <v>0</v>
      </c>
      <c r="AK581" t="n">
        <v>0</v>
      </c>
      <c r="AL581" t="n">
        <v>0</v>
      </c>
      <c r="AM581" t="n">
        <v>0</v>
      </c>
      <c r="AN581" t="n">
        <v>0</v>
      </c>
      <c r="AO581" t="n">
        <v>0</v>
      </c>
      <c r="AP581" t="n">
        <v>0</v>
      </c>
      <c r="AQ581" t="n">
        <v>0</v>
      </c>
      <c r="AR581" t="inlineStr">
        <is>
          <t>No</t>
        </is>
      </c>
      <c r="AS581" t="inlineStr">
        <is>
          <t>No</t>
        </is>
      </c>
      <c r="AU581">
        <f>HYPERLINK("https://creighton-primo.hosted.exlibrisgroup.com/primo-explore/search?tab=default_tab&amp;search_scope=EVERYTHING&amp;vid=01CRU&amp;lang=en_US&amp;offset=0&amp;query=any,contains,991004337459702656","Catalog Record")</f>
        <v/>
      </c>
      <c r="AV581">
        <f>HYPERLINK("http://www.worldcat.org/oclc/17145102","WorldCat Record")</f>
        <v/>
      </c>
      <c r="AW581" t="inlineStr">
        <is>
          <t>13779374:spa</t>
        </is>
      </c>
      <c r="AX581" t="inlineStr">
        <is>
          <t>17145102</t>
        </is>
      </c>
      <c r="AY581" t="inlineStr">
        <is>
          <t>991004337459702656</t>
        </is>
      </c>
      <c r="AZ581" t="inlineStr">
        <is>
          <t>991004337459702656</t>
        </is>
      </c>
      <c r="BA581" t="inlineStr">
        <is>
          <t>2256020260002656</t>
        </is>
      </c>
      <c r="BB581" t="inlineStr">
        <is>
          <t>BOOK</t>
        </is>
      </c>
      <c r="BE581" t="inlineStr">
        <is>
          <t>32285004928551</t>
        </is>
      </c>
      <c r="BF581" t="inlineStr">
        <is>
          <t>893259609</t>
        </is>
      </c>
    </row>
    <row r="582">
      <c r="A582" t="inlineStr">
        <is>
          <t>No</t>
        </is>
      </c>
      <c r="B582" t="inlineStr">
        <is>
          <t>CURAL</t>
        </is>
      </c>
      <c r="C582" t="inlineStr">
        <is>
          <t>SHELVES</t>
        </is>
      </c>
      <c r="D582" t="inlineStr">
        <is>
          <t>PQ6357.A3 W64 1931</t>
        </is>
      </c>
      <c r="E582" t="inlineStr">
        <is>
          <t>0                      PQ 6357000A  3                  W  64          1931</t>
        </is>
      </c>
      <c r="F582" t="inlineStr">
        <is>
          <t>Mujeres del Quijote, notes and vocabulary by Wilhelmina Marie Becker, M.A.; with a critical introduction by Federico de Onís.</t>
        </is>
      </c>
      <c r="H582" t="inlineStr">
        <is>
          <t>No</t>
        </is>
      </c>
      <c r="I582" t="inlineStr">
        <is>
          <t>1</t>
        </is>
      </c>
      <c r="J582" t="inlineStr">
        <is>
          <t>No</t>
        </is>
      </c>
      <c r="K582" t="inlineStr">
        <is>
          <t>No</t>
        </is>
      </c>
      <c r="L582" t="inlineStr">
        <is>
          <t>0</t>
        </is>
      </c>
      <c r="M582" t="inlineStr">
        <is>
          <t>Espina, Concha, 1869-1955.</t>
        </is>
      </c>
      <c r="N582" t="inlineStr">
        <is>
          <t>Boston, New York [etc.] D.C. Heath and Company [c1931]</t>
        </is>
      </c>
      <c r="O582" t="inlineStr">
        <is>
          <t>1931</t>
        </is>
      </c>
      <c r="Q582" t="inlineStr">
        <is>
          <t>spa</t>
        </is>
      </c>
      <c r="R582" t="inlineStr">
        <is>
          <t>mau</t>
        </is>
      </c>
      <c r="S582" t="inlineStr">
        <is>
          <t>Heath's modern language series</t>
        </is>
      </c>
      <c r="T582" t="inlineStr">
        <is>
          <t xml:space="preserve">PQ </t>
        </is>
      </c>
      <c r="U582" t="n">
        <v>2</v>
      </c>
      <c r="V582" t="n">
        <v>2</v>
      </c>
      <c r="W582" t="inlineStr">
        <is>
          <t>1997-12-08</t>
        </is>
      </c>
      <c r="X582" t="inlineStr">
        <is>
          <t>1997-12-08</t>
        </is>
      </c>
      <c r="Y582" t="inlineStr">
        <is>
          <t>1997-07-08</t>
        </is>
      </c>
      <c r="Z582" t="inlineStr">
        <is>
          <t>1997-07-08</t>
        </is>
      </c>
      <c r="AA582" t="n">
        <v>100</v>
      </c>
      <c r="AB582" t="n">
        <v>98</v>
      </c>
      <c r="AC582" t="n">
        <v>165</v>
      </c>
      <c r="AD582" t="n">
        <v>1</v>
      </c>
      <c r="AE582" t="n">
        <v>1</v>
      </c>
      <c r="AF582" t="n">
        <v>8</v>
      </c>
      <c r="AG582" t="n">
        <v>9</v>
      </c>
      <c r="AH582" t="n">
        <v>4</v>
      </c>
      <c r="AI582" t="n">
        <v>4</v>
      </c>
      <c r="AJ582" t="n">
        <v>0</v>
      </c>
      <c r="AK582" t="n">
        <v>0</v>
      </c>
      <c r="AL582" t="n">
        <v>5</v>
      </c>
      <c r="AM582" t="n">
        <v>6</v>
      </c>
      <c r="AN582" t="n">
        <v>0</v>
      </c>
      <c r="AO582" t="n">
        <v>0</v>
      </c>
      <c r="AP582" t="n">
        <v>0</v>
      </c>
      <c r="AQ582" t="n">
        <v>0</v>
      </c>
      <c r="AR582" t="inlineStr">
        <is>
          <t>No</t>
        </is>
      </c>
      <c r="AS582" t="inlineStr">
        <is>
          <t>Yes</t>
        </is>
      </c>
      <c r="AT582">
        <f>HYPERLINK("http://catalog.hathitrust.org/Record/102114817","HathiTrust Record")</f>
        <v/>
      </c>
      <c r="AU582">
        <f>HYPERLINK("https://creighton-primo.hosted.exlibrisgroup.com/primo-explore/search?tab=default_tab&amp;search_scope=EVERYTHING&amp;vid=01CRU&amp;lang=en_US&amp;offset=0&amp;query=any,contains,991004265699702656","Catalog Record")</f>
        <v/>
      </c>
      <c r="AV582">
        <f>HYPERLINK("http://www.worldcat.org/oclc/2864839","WorldCat Record")</f>
        <v/>
      </c>
      <c r="AW582" t="inlineStr">
        <is>
          <t>4924842029:spa</t>
        </is>
      </c>
      <c r="AX582" t="inlineStr">
        <is>
          <t>2864839</t>
        </is>
      </c>
      <c r="AY582" t="inlineStr">
        <is>
          <t>991004265699702656</t>
        </is>
      </c>
      <c r="AZ582" t="inlineStr">
        <is>
          <t>991004265699702656</t>
        </is>
      </c>
      <c r="BA582" t="inlineStr">
        <is>
          <t>2265184330002656</t>
        </is>
      </c>
      <c r="BB582" t="inlineStr">
        <is>
          <t>BOOK</t>
        </is>
      </c>
      <c r="BE582" t="inlineStr">
        <is>
          <t>32285002518651</t>
        </is>
      </c>
      <c r="BF582" t="inlineStr">
        <is>
          <t>893869511</t>
        </is>
      </c>
    </row>
    <row r="583">
      <c r="A583" t="inlineStr">
        <is>
          <t>No</t>
        </is>
      </c>
      <c r="B583" t="inlineStr">
        <is>
          <t>CURAL</t>
        </is>
      </c>
      <c r="C583" t="inlineStr">
        <is>
          <t>SHELVES</t>
        </is>
      </c>
      <c r="D583" t="inlineStr">
        <is>
          <t>PQ6366 .A2 1923</t>
        </is>
      </c>
      <c r="E583" t="inlineStr">
        <is>
          <t>0                      PQ 6366000A  2           1923</t>
        </is>
      </c>
      <c r="F583" t="inlineStr">
        <is>
          <t>Poema de mío Cid.</t>
        </is>
      </c>
      <c r="H583" t="inlineStr">
        <is>
          <t>No</t>
        </is>
      </c>
      <c r="I583" t="inlineStr">
        <is>
          <t>1</t>
        </is>
      </c>
      <c r="J583" t="inlineStr">
        <is>
          <t>No</t>
        </is>
      </c>
      <c r="K583" t="inlineStr">
        <is>
          <t>No</t>
        </is>
      </c>
      <c r="L583" t="inlineStr">
        <is>
          <t>0</t>
        </is>
      </c>
      <c r="M583" t="inlineStr">
        <is>
          <t>Cantar de mío Cid.</t>
        </is>
      </c>
      <c r="N583" t="inlineStr">
        <is>
          <t>Madrid : Ediciones de "La Lectura", 1923.</t>
        </is>
      </c>
      <c r="O583" t="inlineStr">
        <is>
          <t>1923</t>
        </is>
      </c>
      <c r="P583" t="inlineStr">
        <is>
          <t>2a ed., corr. / y notas por Ramón Menéndez Pidal.</t>
        </is>
      </c>
      <c r="Q583" t="inlineStr">
        <is>
          <t>spa</t>
        </is>
      </c>
      <c r="R583" t="inlineStr">
        <is>
          <t xml:space="preserve">sp </t>
        </is>
      </c>
      <c r="S583" t="inlineStr">
        <is>
          <t>Clásicos castellanos ; 24</t>
        </is>
      </c>
      <c r="T583" t="inlineStr">
        <is>
          <t xml:space="preserve">PQ </t>
        </is>
      </c>
      <c r="U583" t="n">
        <v>6</v>
      </c>
      <c r="V583" t="n">
        <v>6</v>
      </c>
      <c r="W583" t="inlineStr">
        <is>
          <t>2009-05-18</t>
        </is>
      </c>
      <c r="X583" t="inlineStr">
        <is>
          <t>2009-05-18</t>
        </is>
      </c>
      <c r="Y583" t="inlineStr">
        <is>
          <t>1998-01-28</t>
        </is>
      </c>
      <c r="Z583" t="inlineStr">
        <is>
          <t>1998-01-28</t>
        </is>
      </c>
      <c r="AA583" t="n">
        <v>131</v>
      </c>
      <c r="AB583" t="n">
        <v>104</v>
      </c>
      <c r="AC583" t="n">
        <v>104</v>
      </c>
      <c r="AD583" t="n">
        <v>2</v>
      </c>
      <c r="AE583" t="n">
        <v>2</v>
      </c>
      <c r="AF583" t="n">
        <v>7</v>
      </c>
      <c r="AG583" t="n">
        <v>7</v>
      </c>
      <c r="AH583" t="n">
        <v>2</v>
      </c>
      <c r="AI583" t="n">
        <v>2</v>
      </c>
      <c r="AJ583" t="n">
        <v>2</v>
      </c>
      <c r="AK583" t="n">
        <v>2</v>
      </c>
      <c r="AL583" t="n">
        <v>3</v>
      </c>
      <c r="AM583" t="n">
        <v>3</v>
      </c>
      <c r="AN583" t="n">
        <v>1</v>
      </c>
      <c r="AO583" t="n">
        <v>1</v>
      </c>
      <c r="AP583" t="n">
        <v>0</v>
      </c>
      <c r="AQ583" t="n">
        <v>0</v>
      </c>
      <c r="AR583" t="inlineStr">
        <is>
          <t>No</t>
        </is>
      </c>
      <c r="AS583" t="inlineStr">
        <is>
          <t>Yes</t>
        </is>
      </c>
      <c r="AT583">
        <f>HYPERLINK("http://catalog.hathitrust.org/Record/001521060","HathiTrust Record")</f>
        <v/>
      </c>
      <c r="AU583">
        <f>HYPERLINK("https://creighton-primo.hosted.exlibrisgroup.com/primo-explore/search?tab=default_tab&amp;search_scope=EVERYTHING&amp;vid=01CRU&amp;lang=en_US&amp;offset=0&amp;query=any,contains,991002691409702656","Catalog Record")</f>
        <v/>
      </c>
      <c r="AV583">
        <f>HYPERLINK("http://www.worldcat.org/oclc/35154750","WorldCat Record")</f>
        <v/>
      </c>
      <c r="AW583" t="inlineStr">
        <is>
          <t>10792761310:spa</t>
        </is>
      </c>
      <c r="AX583" t="inlineStr">
        <is>
          <t>35154750</t>
        </is>
      </c>
      <c r="AY583" t="inlineStr">
        <is>
          <t>991002691409702656</t>
        </is>
      </c>
      <c r="AZ583" t="inlineStr">
        <is>
          <t>991002691409702656</t>
        </is>
      </c>
      <c r="BA583" t="inlineStr">
        <is>
          <t>2255847590002656</t>
        </is>
      </c>
      <c r="BB583" t="inlineStr">
        <is>
          <t>BOOK</t>
        </is>
      </c>
      <c r="BE583" t="inlineStr">
        <is>
          <t>32285003335386</t>
        </is>
      </c>
      <c r="BF583" t="inlineStr">
        <is>
          <t>893262420</t>
        </is>
      </c>
    </row>
    <row r="584">
      <c r="A584" t="inlineStr">
        <is>
          <t>No</t>
        </is>
      </c>
      <c r="B584" t="inlineStr">
        <is>
          <t>CURAL</t>
        </is>
      </c>
      <c r="C584" t="inlineStr">
        <is>
          <t>SHELVES</t>
        </is>
      </c>
      <c r="D584" t="inlineStr">
        <is>
          <t>PQ6388 .C2 1984</t>
        </is>
      </c>
      <c r="E584" t="inlineStr">
        <is>
          <t>0                      PQ 6388000C  2           1984</t>
        </is>
      </c>
      <c r="F584" t="inlineStr">
        <is>
          <t>Libro del cauallero Çifar / edited by Marilyn A. Olsen.</t>
        </is>
      </c>
      <c r="H584" t="inlineStr">
        <is>
          <t>No</t>
        </is>
      </c>
      <c r="I584" t="inlineStr">
        <is>
          <t>1</t>
        </is>
      </c>
      <c r="J584" t="inlineStr">
        <is>
          <t>No</t>
        </is>
      </c>
      <c r="K584" t="inlineStr">
        <is>
          <t>No</t>
        </is>
      </c>
      <c r="L584" t="inlineStr">
        <is>
          <t>0</t>
        </is>
      </c>
      <c r="M584" t="inlineStr">
        <is>
          <t>Cifar.</t>
        </is>
      </c>
      <c r="N584" t="inlineStr">
        <is>
          <t>Madison : Hispanic Seminary of Medieval Studies, 1984.</t>
        </is>
      </c>
      <c r="O584" t="inlineStr">
        <is>
          <t>1984</t>
        </is>
      </c>
      <c r="Q584" t="inlineStr">
        <is>
          <t>spa</t>
        </is>
      </c>
      <c r="R584" t="inlineStr">
        <is>
          <t>wiu</t>
        </is>
      </c>
      <c r="S584" t="inlineStr">
        <is>
          <t>Spanish series ; no. 16</t>
        </is>
      </c>
      <c r="T584" t="inlineStr">
        <is>
          <t xml:space="preserve">PQ </t>
        </is>
      </c>
      <c r="U584" t="n">
        <v>1</v>
      </c>
      <c r="V584" t="n">
        <v>1</v>
      </c>
      <c r="W584" t="inlineStr">
        <is>
          <t>1995-10-30</t>
        </is>
      </c>
      <c r="X584" t="inlineStr">
        <is>
          <t>1995-10-30</t>
        </is>
      </c>
      <c r="Y584" t="inlineStr">
        <is>
          <t>1991-06-06</t>
        </is>
      </c>
      <c r="Z584" t="inlineStr">
        <is>
          <t>1991-06-06</t>
        </is>
      </c>
      <c r="AA584" t="n">
        <v>125</v>
      </c>
      <c r="AB584" t="n">
        <v>93</v>
      </c>
      <c r="AC584" t="n">
        <v>101</v>
      </c>
      <c r="AD584" t="n">
        <v>3</v>
      </c>
      <c r="AE584" t="n">
        <v>3</v>
      </c>
      <c r="AF584" t="n">
        <v>6</v>
      </c>
      <c r="AG584" t="n">
        <v>6</v>
      </c>
      <c r="AH584" t="n">
        <v>0</v>
      </c>
      <c r="AI584" t="n">
        <v>0</v>
      </c>
      <c r="AJ584" t="n">
        <v>3</v>
      </c>
      <c r="AK584" t="n">
        <v>3</v>
      </c>
      <c r="AL584" t="n">
        <v>3</v>
      </c>
      <c r="AM584" t="n">
        <v>3</v>
      </c>
      <c r="AN584" t="n">
        <v>2</v>
      </c>
      <c r="AO584" t="n">
        <v>2</v>
      </c>
      <c r="AP584" t="n">
        <v>0</v>
      </c>
      <c r="AQ584" t="n">
        <v>0</v>
      </c>
      <c r="AR584" t="inlineStr">
        <is>
          <t>No</t>
        </is>
      </c>
      <c r="AS584" t="inlineStr">
        <is>
          <t>Yes</t>
        </is>
      </c>
      <c r="AT584">
        <f>HYPERLINK("http://catalog.hathitrust.org/Record/000601933","HathiTrust Record")</f>
        <v/>
      </c>
      <c r="AU584">
        <f>HYPERLINK("https://creighton-primo.hosted.exlibrisgroup.com/primo-explore/search?tab=default_tab&amp;search_scope=EVERYTHING&amp;vid=01CRU&amp;lang=en_US&amp;offset=0&amp;query=any,contains,991000646549702656","Catalog Record")</f>
        <v/>
      </c>
      <c r="AV584">
        <f>HYPERLINK("http://www.worldcat.org/oclc/12134568","WorldCat Record")</f>
        <v/>
      </c>
      <c r="AW584" t="inlineStr">
        <is>
          <t>10678416028:spa</t>
        </is>
      </c>
      <c r="AX584" t="inlineStr">
        <is>
          <t>12134568</t>
        </is>
      </c>
      <c r="AY584" t="inlineStr">
        <is>
          <t>991000646549702656</t>
        </is>
      </c>
      <c r="AZ584" t="inlineStr">
        <is>
          <t>991000646549702656</t>
        </is>
      </c>
      <c r="BA584" t="inlineStr">
        <is>
          <t>2263714520002656</t>
        </is>
      </c>
      <c r="BB584" t="inlineStr">
        <is>
          <t>BOOK</t>
        </is>
      </c>
      <c r="BD584" t="inlineStr">
        <is>
          <t>9780942260427</t>
        </is>
      </c>
      <c r="BE584" t="inlineStr">
        <is>
          <t>32285000599711</t>
        </is>
      </c>
      <c r="BF584" t="inlineStr">
        <is>
          <t>893231289</t>
        </is>
      </c>
    </row>
    <row r="585">
      <c r="A585" t="inlineStr">
        <is>
          <t>No</t>
        </is>
      </c>
      <c r="B585" t="inlineStr">
        <is>
          <t>CURAL</t>
        </is>
      </c>
      <c r="C585" t="inlineStr">
        <is>
          <t>SHELVES</t>
        </is>
      </c>
      <c r="D585" t="inlineStr">
        <is>
          <t>PQ6388 .E2 1977</t>
        </is>
      </c>
      <c r="E585" t="inlineStr">
        <is>
          <t>0                      PQ 6388000E  2           1977</t>
        </is>
      </c>
      <c r="F585" t="inlineStr">
        <is>
          <t>Teatro, segunda producción dramática / Juan del Encina ; edición, estudio y notas de Rosalie Gimeno.</t>
        </is>
      </c>
      <c r="H585" t="inlineStr">
        <is>
          <t>No</t>
        </is>
      </c>
      <c r="I585" t="inlineStr">
        <is>
          <t>1</t>
        </is>
      </c>
      <c r="J585" t="inlineStr">
        <is>
          <t>No</t>
        </is>
      </c>
      <c r="K585" t="inlineStr">
        <is>
          <t>No</t>
        </is>
      </c>
      <c r="L585" t="inlineStr">
        <is>
          <t>0</t>
        </is>
      </c>
      <c r="M585" t="inlineStr">
        <is>
          <t>Encina, Juan del, 1468-1529?.</t>
        </is>
      </c>
      <c r="N585" t="inlineStr">
        <is>
          <t>Madrid [etc.] : Alhambra, 1977.</t>
        </is>
      </c>
      <c r="O585" t="inlineStr">
        <is>
          <t>1977</t>
        </is>
      </c>
      <c r="P585" t="inlineStr">
        <is>
          <t>1. ed.</t>
        </is>
      </c>
      <c r="Q585" t="inlineStr">
        <is>
          <t>spa</t>
        </is>
      </c>
      <c r="R585" t="inlineStr">
        <is>
          <t xml:space="preserve">sp </t>
        </is>
      </c>
      <c r="S585" t="inlineStr">
        <is>
          <t>Clásicos</t>
        </is>
      </c>
      <c r="T585" t="inlineStr">
        <is>
          <t xml:space="preserve">PQ </t>
        </is>
      </c>
      <c r="U585" t="n">
        <v>2</v>
      </c>
      <c r="V585" t="n">
        <v>2</v>
      </c>
      <c r="W585" t="inlineStr">
        <is>
          <t>2005-04-06</t>
        </is>
      </c>
      <c r="X585" t="inlineStr">
        <is>
          <t>2005-04-06</t>
        </is>
      </c>
      <c r="Y585" t="inlineStr">
        <is>
          <t>2005-04-06</t>
        </is>
      </c>
      <c r="Z585" t="inlineStr">
        <is>
          <t>2005-04-06</t>
        </is>
      </c>
      <c r="AA585" t="n">
        <v>129</v>
      </c>
      <c r="AB585" t="n">
        <v>94</v>
      </c>
      <c r="AC585" t="n">
        <v>115</v>
      </c>
      <c r="AD585" t="n">
        <v>1</v>
      </c>
      <c r="AE585" t="n">
        <v>1</v>
      </c>
      <c r="AF585" t="n">
        <v>7</v>
      </c>
      <c r="AG585" t="n">
        <v>8</v>
      </c>
      <c r="AH585" t="n">
        <v>1</v>
      </c>
      <c r="AI585" t="n">
        <v>1</v>
      </c>
      <c r="AJ585" t="n">
        <v>2</v>
      </c>
      <c r="AK585" t="n">
        <v>3</v>
      </c>
      <c r="AL585" t="n">
        <v>5</v>
      </c>
      <c r="AM585" t="n">
        <v>5</v>
      </c>
      <c r="AN585" t="n">
        <v>0</v>
      </c>
      <c r="AO585" t="n">
        <v>0</v>
      </c>
      <c r="AP585" t="n">
        <v>0</v>
      </c>
      <c r="AQ585" t="n">
        <v>0</v>
      </c>
      <c r="AR585" t="inlineStr">
        <is>
          <t>No</t>
        </is>
      </c>
      <c r="AS585" t="inlineStr">
        <is>
          <t>No</t>
        </is>
      </c>
      <c r="AU585">
        <f>HYPERLINK("https://creighton-primo.hosted.exlibrisgroup.com/primo-explore/search?tab=default_tab&amp;search_scope=EVERYTHING&amp;vid=01CRU&amp;lang=en_US&amp;offset=0&amp;query=any,contains,991004523049702656","Catalog Record")</f>
        <v/>
      </c>
      <c r="AV585">
        <f>HYPERLINK("http://www.worldcat.org/oclc/3606978","WorldCat Record")</f>
        <v/>
      </c>
      <c r="AW585" t="inlineStr">
        <is>
          <t>11099509:spa</t>
        </is>
      </c>
      <c r="AX585" t="inlineStr">
        <is>
          <t>3606978</t>
        </is>
      </c>
      <c r="AY585" t="inlineStr">
        <is>
          <t>991004523049702656</t>
        </is>
      </c>
      <c r="AZ585" t="inlineStr">
        <is>
          <t>991004523049702656</t>
        </is>
      </c>
      <c r="BA585" t="inlineStr">
        <is>
          <t>2270208190002656</t>
        </is>
      </c>
      <c r="BB585" t="inlineStr">
        <is>
          <t>BOOK</t>
        </is>
      </c>
      <c r="BD585" t="inlineStr">
        <is>
          <t>9788420503455</t>
        </is>
      </c>
      <c r="BE585" t="inlineStr">
        <is>
          <t>32285005048284</t>
        </is>
      </c>
      <c r="BF585" t="inlineStr">
        <is>
          <t>893241532</t>
        </is>
      </c>
    </row>
    <row r="586">
      <c r="A586" t="inlineStr">
        <is>
          <t>No</t>
        </is>
      </c>
      <c r="B586" t="inlineStr">
        <is>
          <t>CURAL</t>
        </is>
      </c>
      <c r="C586" t="inlineStr">
        <is>
          <t>SHELVES</t>
        </is>
      </c>
      <c r="D586" t="inlineStr">
        <is>
          <t>PQ6388.E2 B4</t>
        </is>
      </c>
      <c r="E586" t="inlineStr">
        <is>
          <t>0                      PQ 6388000E  2                  B  4</t>
        </is>
      </c>
      <c r="F586" t="inlineStr">
        <is>
          <t>La poesía amatoria del siglo XV [i. e. quince] y el teatro profano de Juan del Encina [por] Antony van Beysterveldt.</t>
        </is>
      </c>
      <c r="H586" t="inlineStr">
        <is>
          <t>No</t>
        </is>
      </c>
      <c r="I586" t="inlineStr">
        <is>
          <t>1</t>
        </is>
      </c>
      <c r="J586" t="inlineStr">
        <is>
          <t>No</t>
        </is>
      </c>
      <c r="K586" t="inlineStr">
        <is>
          <t>No</t>
        </is>
      </c>
      <c r="L586" t="inlineStr">
        <is>
          <t>0</t>
        </is>
      </c>
      <c r="M586" t="inlineStr">
        <is>
          <t>Beysterveldt, Antony van.</t>
        </is>
      </c>
      <c r="N586" t="inlineStr">
        <is>
          <t>Madrid, Ínsula, 1972.</t>
        </is>
      </c>
      <c r="O586" t="inlineStr">
        <is>
          <t>1972</t>
        </is>
      </c>
      <c r="Q586" t="inlineStr">
        <is>
          <t>spa</t>
        </is>
      </c>
      <c r="R586" t="inlineStr">
        <is>
          <t xml:space="preserve">xx </t>
        </is>
      </c>
      <c r="T586" t="inlineStr">
        <is>
          <t xml:space="preserve">PQ </t>
        </is>
      </c>
      <c r="U586" t="n">
        <v>2</v>
      </c>
      <c r="V586" t="n">
        <v>2</v>
      </c>
      <c r="W586" t="inlineStr">
        <is>
          <t>2005-03-09</t>
        </is>
      </c>
      <c r="X586" t="inlineStr">
        <is>
          <t>2005-03-09</t>
        </is>
      </c>
      <c r="Y586" t="inlineStr">
        <is>
          <t>1997-07-02</t>
        </is>
      </c>
      <c r="Z586" t="inlineStr">
        <is>
          <t>1997-07-02</t>
        </is>
      </c>
      <c r="AA586" t="n">
        <v>168</v>
      </c>
      <c r="AB586" t="n">
        <v>130</v>
      </c>
      <c r="AC586" t="n">
        <v>138</v>
      </c>
      <c r="AD586" t="n">
        <v>1</v>
      </c>
      <c r="AE586" t="n">
        <v>2</v>
      </c>
      <c r="AF586" t="n">
        <v>4</v>
      </c>
      <c r="AG586" t="n">
        <v>5</v>
      </c>
      <c r="AH586" t="n">
        <v>0</v>
      </c>
      <c r="AI586" t="n">
        <v>0</v>
      </c>
      <c r="AJ586" t="n">
        <v>2</v>
      </c>
      <c r="AK586" t="n">
        <v>2</v>
      </c>
      <c r="AL586" t="n">
        <v>3</v>
      </c>
      <c r="AM586" t="n">
        <v>3</v>
      </c>
      <c r="AN586" t="n">
        <v>0</v>
      </c>
      <c r="AO586" t="n">
        <v>1</v>
      </c>
      <c r="AP586" t="n">
        <v>0</v>
      </c>
      <c r="AQ586" t="n">
        <v>0</v>
      </c>
      <c r="AR586" t="inlineStr">
        <is>
          <t>No</t>
        </is>
      </c>
      <c r="AS586" t="inlineStr">
        <is>
          <t>Yes</t>
        </is>
      </c>
      <c r="AT586">
        <f>HYPERLINK("http://catalog.hathitrust.org/Record/001051094","HathiTrust Record")</f>
        <v/>
      </c>
      <c r="AU586">
        <f>HYPERLINK("https://creighton-primo.hosted.exlibrisgroup.com/primo-explore/search?tab=default_tab&amp;search_scope=EVERYTHING&amp;vid=01CRU&amp;lang=en_US&amp;offset=0&amp;query=any,contains,991003052409702656","Catalog Record")</f>
        <v/>
      </c>
      <c r="AV586">
        <f>HYPERLINK("http://www.worldcat.org/oclc/611790","WorldCat Record")</f>
        <v/>
      </c>
      <c r="AW586" t="inlineStr">
        <is>
          <t>365228924:spa</t>
        </is>
      </c>
      <c r="AX586" t="inlineStr">
        <is>
          <t>611790</t>
        </is>
      </c>
      <c r="AY586" t="inlineStr">
        <is>
          <t>991003052409702656</t>
        </is>
      </c>
      <c r="AZ586" t="inlineStr">
        <is>
          <t>991003052409702656</t>
        </is>
      </c>
      <c r="BA586" t="inlineStr">
        <is>
          <t>2265414640002656</t>
        </is>
      </c>
      <c r="BB586" t="inlineStr">
        <is>
          <t>BOOK</t>
        </is>
      </c>
      <c r="BE586" t="inlineStr">
        <is>
          <t>32285002518784</t>
        </is>
      </c>
      <c r="BF586" t="inlineStr">
        <is>
          <t>893868058</t>
        </is>
      </c>
    </row>
    <row r="587">
      <c r="A587" t="inlineStr">
        <is>
          <t>No</t>
        </is>
      </c>
      <c r="B587" t="inlineStr">
        <is>
          <t>CURAL</t>
        </is>
      </c>
      <c r="C587" t="inlineStr">
        <is>
          <t>SHELVES</t>
        </is>
      </c>
      <c r="D587" t="inlineStr">
        <is>
          <t>PQ6388.E2 R3 1972</t>
        </is>
      </c>
      <c r="E587" t="inlineStr">
        <is>
          <t>0                      PQ 6388000E  2                  R  3           1972</t>
        </is>
      </c>
      <c r="F587" t="inlineStr">
        <is>
          <t>El cancionero de Juan del Encina : dentro de su ámbito histórico y literario / Ana Maria Rambaldo.</t>
        </is>
      </c>
      <c r="H587" t="inlineStr">
        <is>
          <t>No</t>
        </is>
      </c>
      <c r="I587" t="inlineStr">
        <is>
          <t>1</t>
        </is>
      </c>
      <c r="J587" t="inlineStr">
        <is>
          <t>No</t>
        </is>
      </c>
      <c r="K587" t="inlineStr">
        <is>
          <t>No</t>
        </is>
      </c>
      <c r="L587" t="inlineStr">
        <is>
          <t>0</t>
        </is>
      </c>
      <c r="M587" t="inlineStr">
        <is>
          <t>Rambaldo, Ana María.</t>
        </is>
      </c>
      <c r="N587" t="inlineStr">
        <is>
          <t>Santa Fe, Argentina : Libreria y Editorial Castellví, [1972]</t>
        </is>
      </c>
      <c r="O587" t="inlineStr">
        <is>
          <t>1972</t>
        </is>
      </c>
      <c r="Q587" t="inlineStr">
        <is>
          <t>spa</t>
        </is>
      </c>
      <c r="R587" t="inlineStr">
        <is>
          <t xml:space="preserve">ag </t>
        </is>
      </c>
      <c r="T587" t="inlineStr">
        <is>
          <t xml:space="preserve">PQ </t>
        </is>
      </c>
      <c r="U587" t="n">
        <v>2</v>
      </c>
      <c r="V587" t="n">
        <v>2</v>
      </c>
      <c r="W587" t="inlineStr">
        <is>
          <t>2005-03-23</t>
        </is>
      </c>
      <c r="X587" t="inlineStr">
        <is>
          <t>2005-03-23</t>
        </is>
      </c>
      <c r="Y587" t="inlineStr">
        <is>
          <t>2005-03-23</t>
        </is>
      </c>
      <c r="Z587" t="inlineStr">
        <is>
          <t>2005-03-23</t>
        </is>
      </c>
      <c r="AA587" t="n">
        <v>25</v>
      </c>
      <c r="AB587" t="n">
        <v>22</v>
      </c>
      <c r="AC587" t="n">
        <v>30</v>
      </c>
      <c r="AD587" t="n">
        <v>2</v>
      </c>
      <c r="AE587" t="n">
        <v>2</v>
      </c>
      <c r="AF587" t="n">
        <v>2</v>
      </c>
      <c r="AG587" t="n">
        <v>2</v>
      </c>
      <c r="AH587" t="n">
        <v>0</v>
      </c>
      <c r="AI587" t="n">
        <v>0</v>
      </c>
      <c r="AJ587" t="n">
        <v>0</v>
      </c>
      <c r="AK587" t="n">
        <v>0</v>
      </c>
      <c r="AL587" t="n">
        <v>1</v>
      </c>
      <c r="AM587" t="n">
        <v>1</v>
      </c>
      <c r="AN587" t="n">
        <v>1</v>
      </c>
      <c r="AO587" t="n">
        <v>1</v>
      </c>
      <c r="AP587" t="n">
        <v>0</v>
      </c>
      <c r="AQ587" t="n">
        <v>0</v>
      </c>
      <c r="AR587" t="inlineStr">
        <is>
          <t>No</t>
        </is>
      </c>
      <c r="AS587" t="inlineStr">
        <is>
          <t>Yes</t>
        </is>
      </c>
      <c r="AT587">
        <f>HYPERLINK("http://catalog.hathitrust.org/Record/009506574","HathiTrust Record")</f>
        <v/>
      </c>
      <c r="AU587">
        <f>HYPERLINK("https://creighton-primo.hosted.exlibrisgroup.com/primo-explore/search?tab=default_tab&amp;search_scope=EVERYTHING&amp;vid=01CRU&amp;lang=en_US&amp;offset=0&amp;query=any,contains,991004509859702656","Catalog Record")</f>
        <v/>
      </c>
      <c r="AV587">
        <f>HYPERLINK("http://www.worldcat.org/oclc/664572","WorldCat Record")</f>
        <v/>
      </c>
      <c r="AW587" t="inlineStr">
        <is>
          <t>422820214:spa</t>
        </is>
      </c>
      <c r="AX587" t="inlineStr">
        <is>
          <t>664572</t>
        </is>
      </c>
      <c r="AY587" t="inlineStr">
        <is>
          <t>991004509859702656</t>
        </is>
      </c>
      <c r="AZ587" t="inlineStr">
        <is>
          <t>991004509859702656</t>
        </is>
      </c>
      <c r="BA587" t="inlineStr">
        <is>
          <t>2271937810002656</t>
        </is>
      </c>
      <c r="BB587" t="inlineStr">
        <is>
          <t>BOOK</t>
        </is>
      </c>
      <c r="BE587" t="inlineStr">
        <is>
          <t>32285005044523</t>
        </is>
      </c>
      <c r="BF587" t="inlineStr">
        <is>
          <t>893259804</t>
        </is>
      </c>
    </row>
    <row r="588">
      <c r="A588" t="inlineStr">
        <is>
          <t>No</t>
        </is>
      </c>
      <c r="B588" t="inlineStr">
        <is>
          <t>CURAL</t>
        </is>
      </c>
      <c r="C588" t="inlineStr">
        <is>
          <t>SHELVES</t>
        </is>
      </c>
      <c r="D588" t="inlineStr">
        <is>
          <t>PQ6390.G84 H33 1997</t>
        </is>
      </c>
      <c r="E588" t="inlineStr">
        <is>
          <t>0                      PQ 6390000G  84                 H  33          1997</t>
        </is>
      </c>
      <c r="F588" t="inlineStr">
        <is>
          <t>The restoration of monarchy : "Hados y lados hacen dichosos y desdichados" / edition, notes, and introduction by A. Robert Lauer.</t>
        </is>
      </c>
      <c r="H588" t="inlineStr">
        <is>
          <t>No</t>
        </is>
      </c>
      <c r="I588" t="inlineStr">
        <is>
          <t>1</t>
        </is>
      </c>
      <c r="J588" t="inlineStr">
        <is>
          <t>No</t>
        </is>
      </c>
      <c r="K588" t="inlineStr">
        <is>
          <t>No</t>
        </is>
      </c>
      <c r="L588" t="inlineStr">
        <is>
          <t>0</t>
        </is>
      </c>
      <c r="M588" t="inlineStr">
        <is>
          <t>García, Lorenzo, active 1667.</t>
        </is>
      </c>
      <c r="N588" t="inlineStr">
        <is>
          <t>Kassel : Edition Reichenberger, 1997.</t>
        </is>
      </c>
      <c r="O588" t="inlineStr">
        <is>
          <t>1997</t>
        </is>
      </c>
      <c r="Q588" t="inlineStr">
        <is>
          <t>spa</t>
        </is>
      </c>
      <c r="R588" t="inlineStr">
        <is>
          <t xml:space="preserve">gw </t>
        </is>
      </c>
      <c r="S588" t="inlineStr">
        <is>
          <t>Teatro del Siglo de Oro. Ediciones críticas ; 72</t>
        </is>
      </c>
      <c r="T588" t="inlineStr">
        <is>
          <t xml:space="preserve">PQ </t>
        </is>
      </c>
      <c r="U588" t="n">
        <v>2</v>
      </c>
      <c r="V588" t="n">
        <v>2</v>
      </c>
      <c r="W588" t="inlineStr">
        <is>
          <t>2005-03-02</t>
        </is>
      </c>
      <c r="X588" t="inlineStr">
        <is>
          <t>2005-03-02</t>
        </is>
      </c>
      <c r="Y588" t="inlineStr">
        <is>
          <t>2005-03-02</t>
        </is>
      </c>
      <c r="Z588" t="inlineStr">
        <is>
          <t>2005-03-02</t>
        </is>
      </c>
      <c r="AA588" t="n">
        <v>79</v>
      </c>
      <c r="AB588" t="n">
        <v>56</v>
      </c>
      <c r="AC588" t="n">
        <v>58</v>
      </c>
      <c r="AD588" t="n">
        <v>1</v>
      </c>
      <c r="AE588" t="n">
        <v>1</v>
      </c>
      <c r="AF588" t="n">
        <v>1</v>
      </c>
      <c r="AG588" t="n">
        <v>1</v>
      </c>
      <c r="AH588" t="n">
        <v>0</v>
      </c>
      <c r="AI588" t="n">
        <v>0</v>
      </c>
      <c r="AJ588" t="n">
        <v>0</v>
      </c>
      <c r="AK588" t="n">
        <v>0</v>
      </c>
      <c r="AL588" t="n">
        <v>1</v>
      </c>
      <c r="AM588" t="n">
        <v>1</v>
      </c>
      <c r="AN588" t="n">
        <v>0</v>
      </c>
      <c r="AO588" t="n">
        <v>0</v>
      </c>
      <c r="AP588" t="n">
        <v>0</v>
      </c>
      <c r="AQ588" t="n">
        <v>0</v>
      </c>
      <c r="AR588" t="inlineStr">
        <is>
          <t>No</t>
        </is>
      </c>
      <c r="AS588" t="inlineStr">
        <is>
          <t>Yes</t>
        </is>
      </c>
      <c r="AT588">
        <f>HYPERLINK("http://catalog.hathitrust.org/Record/003324555","HathiTrust Record")</f>
        <v/>
      </c>
      <c r="AU588">
        <f>HYPERLINK("https://creighton-primo.hosted.exlibrisgroup.com/primo-explore/search?tab=default_tab&amp;search_scope=EVERYTHING&amp;vid=01CRU&amp;lang=en_US&amp;offset=0&amp;query=any,contains,991004489789702656","Catalog Record")</f>
        <v/>
      </c>
      <c r="AV588">
        <f>HYPERLINK("http://www.worldcat.org/oclc/37715500","WorldCat Record")</f>
        <v/>
      </c>
      <c r="AW588" t="inlineStr">
        <is>
          <t>44852974:spa</t>
        </is>
      </c>
      <c r="AX588" t="inlineStr">
        <is>
          <t>37715500</t>
        </is>
      </c>
      <c r="AY588" t="inlineStr">
        <is>
          <t>991004489789702656</t>
        </is>
      </c>
      <c r="AZ588" t="inlineStr">
        <is>
          <t>991004489789702656</t>
        </is>
      </c>
      <c r="BA588" t="inlineStr">
        <is>
          <t>2263310160002656</t>
        </is>
      </c>
      <c r="BB588" t="inlineStr">
        <is>
          <t>BOOK</t>
        </is>
      </c>
      <c r="BD588" t="inlineStr">
        <is>
          <t>9783931887018</t>
        </is>
      </c>
      <c r="BE588" t="inlineStr">
        <is>
          <t>32285005028690</t>
        </is>
      </c>
      <c r="BF588" t="inlineStr">
        <is>
          <t>893700311</t>
        </is>
      </c>
    </row>
    <row r="589">
      <c r="A589" t="inlineStr">
        <is>
          <t>No</t>
        </is>
      </c>
      <c r="B589" t="inlineStr">
        <is>
          <t>CURAL</t>
        </is>
      </c>
      <c r="C589" t="inlineStr">
        <is>
          <t>SHELVES</t>
        </is>
      </c>
      <c r="D589" t="inlineStr">
        <is>
          <t>PQ6391.E43 Z5 1988</t>
        </is>
      </c>
      <c r="E589" t="inlineStr">
        <is>
          <t>0                      PQ 6391000E  43                 Z  5           1988</t>
        </is>
      </c>
      <c r="F589" t="inlineStr">
        <is>
          <t>Las eglogas de Garcilaso de la Vega : ensayos de interpretación / Stanislav Zimic.</t>
        </is>
      </c>
      <c r="H589" t="inlineStr">
        <is>
          <t>No</t>
        </is>
      </c>
      <c r="I589" t="inlineStr">
        <is>
          <t>1</t>
        </is>
      </c>
      <c r="J589" t="inlineStr">
        <is>
          <t>No</t>
        </is>
      </c>
      <c r="K589" t="inlineStr">
        <is>
          <t>No</t>
        </is>
      </c>
      <c r="L589" t="inlineStr">
        <is>
          <t>0</t>
        </is>
      </c>
      <c r="M589" t="inlineStr">
        <is>
          <t>Zimic, Stanislav.</t>
        </is>
      </c>
      <c r="N589" t="inlineStr">
        <is>
          <t>Santander : Sociedad Menéndez Pelayo, 1988.</t>
        </is>
      </c>
      <c r="O589" t="inlineStr">
        <is>
          <t>1988</t>
        </is>
      </c>
      <c r="Q589" t="inlineStr">
        <is>
          <t>spa</t>
        </is>
      </c>
      <c r="R589" t="inlineStr">
        <is>
          <t xml:space="preserve">sp </t>
        </is>
      </c>
      <c r="T589" t="inlineStr">
        <is>
          <t xml:space="preserve">PQ </t>
        </is>
      </c>
      <c r="U589" t="n">
        <v>2</v>
      </c>
      <c r="V589" t="n">
        <v>2</v>
      </c>
      <c r="W589" t="inlineStr">
        <is>
          <t>2005-03-02</t>
        </is>
      </c>
      <c r="X589" t="inlineStr">
        <is>
          <t>2005-03-02</t>
        </is>
      </c>
      <c r="Y589" t="inlineStr">
        <is>
          <t>2005-03-02</t>
        </is>
      </c>
      <c r="Z589" t="inlineStr">
        <is>
          <t>2005-03-02</t>
        </is>
      </c>
      <c r="AA589" t="n">
        <v>60</v>
      </c>
      <c r="AB589" t="n">
        <v>37</v>
      </c>
      <c r="AC589" t="n">
        <v>39</v>
      </c>
      <c r="AD589" t="n">
        <v>2</v>
      </c>
      <c r="AE589" t="n">
        <v>2</v>
      </c>
      <c r="AF589" t="n">
        <v>2</v>
      </c>
      <c r="AG589" t="n">
        <v>2</v>
      </c>
      <c r="AH589" t="n">
        <v>0</v>
      </c>
      <c r="AI589" t="n">
        <v>0</v>
      </c>
      <c r="AJ589" t="n">
        <v>1</v>
      </c>
      <c r="AK589" t="n">
        <v>1</v>
      </c>
      <c r="AL589" t="n">
        <v>1</v>
      </c>
      <c r="AM589" t="n">
        <v>1</v>
      </c>
      <c r="AN589" t="n">
        <v>1</v>
      </c>
      <c r="AO589" t="n">
        <v>1</v>
      </c>
      <c r="AP589" t="n">
        <v>0</v>
      </c>
      <c r="AQ589" t="n">
        <v>0</v>
      </c>
      <c r="AR589" t="inlineStr">
        <is>
          <t>No</t>
        </is>
      </c>
      <c r="AS589" t="inlineStr">
        <is>
          <t>Yes</t>
        </is>
      </c>
      <c r="AT589">
        <f>HYPERLINK("http://catalog.hathitrust.org/Record/001536462","HathiTrust Record")</f>
        <v/>
      </c>
      <c r="AU589">
        <f>HYPERLINK("https://creighton-primo.hosted.exlibrisgroup.com/primo-explore/search?tab=default_tab&amp;search_scope=EVERYTHING&amp;vid=01CRU&amp;lang=en_US&amp;offset=0&amp;query=any,contains,991004490389702656","Catalog Record")</f>
        <v/>
      </c>
      <c r="AV589">
        <f>HYPERLINK("http://www.worldcat.org/oclc/20071659","WorldCat Record")</f>
        <v/>
      </c>
      <c r="AW589" t="inlineStr">
        <is>
          <t>367169992:spa</t>
        </is>
      </c>
      <c r="AX589" t="inlineStr">
        <is>
          <t>20071659</t>
        </is>
      </c>
      <c r="AY589" t="inlineStr">
        <is>
          <t>991004490389702656</t>
        </is>
      </c>
      <c r="AZ589" t="inlineStr">
        <is>
          <t>991004490389702656</t>
        </is>
      </c>
      <c r="BA589" t="inlineStr">
        <is>
          <t>2272434440002656</t>
        </is>
      </c>
      <c r="BB589" t="inlineStr">
        <is>
          <t>BOOK</t>
        </is>
      </c>
      <c r="BD589" t="inlineStr">
        <is>
          <t>9788440429476</t>
        </is>
      </c>
      <c r="BE589" t="inlineStr">
        <is>
          <t>32285005028963</t>
        </is>
      </c>
      <c r="BF589" t="inlineStr">
        <is>
          <t>893532449</t>
        </is>
      </c>
    </row>
    <row r="590">
      <c r="A590" t="inlineStr">
        <is>
          <t>No</t>
        </is>
      </c>
      <c r="B590" t="inlineStr">
        <is>
          <t>CURAL</t>
        </is>
      </c>
      <c r="C590" t="inlineStr">
        <is>
          <t>SHELVES</t>
        </is>
      </c>
      <c r="D590" t="inlineStr">
        <is>
          <t>PQ6394 .A137 1988</t>
        </is>
      </c>
      <c r="E590" t="inlineStr">
        <is>
          <t>0                      PQ 6394000A  137         1988</t>
        </is>
      </c>
      <c r="F590" t="inlineStr">
        <is>
          <t>Romances / Luis de Góngora ; edición de Antonio Carreño.</t>
        </is>
      </c>
      <c r="H590" t="inlineStr">
        <is>
          <t>No</t>
        </is>
      </c>
      <c r="I590" t="inlineStr">
        <is>
          <t>1</t>
        </is>
      </c>
      <c r="J590" t="inlineStr">
        <is>
          <t>No</t>
        </is>
      </c>
      <c r="K590" t="inlineStr">
        <is>
          <t>No</t>
        </is>
      </c>
      <c r="L590" t="inlineStr">
        <is>
          <t>0</t>
        </is>
      </c>
      <c r="M590" t="inlineStr">
        <is>
          <t>Góngora y Argote, Luis de, 1561-1627.</t>
        </is>
      </c>
      <c r="N590" t="inlineStr">
        <is>
          <t>Madrid : Cátedra, c1988.</t>
        </is>
      </c>
      <c r="O590" t="inlineStr">
        <is>
          <t>1988</t>
        </is>
      </c>
      <c r="P590" t="inlineStr">
        <is>
          <t>3. ed.</t>
        </is>
      </c>
      <c r="Q590" t="inlineStr">
        <is>
          <t>spa</t>
        </is>
      </c>
      <c r="R590" t="inlineStr">
        <is>
          <t xml:space="preserve">sp </t>
        </is>
      </c>
      <c r="S590" t="inlineStr">
        <is>
          <t>Letras hispánicas ; 160</t>
        </is>
      </c>
      <c r="T590" t="inlineStr">
        <is>
          <t xml:space="preserve">PQ </t>
        </is>
      </c>
      <c r="U590" t="n">
        <v>3</v>
      </c>
      <c r="V590" t="n">
        <v>3</v>
      </c>
      <c r="W590" t="inlineStr">
        <is>
          <t>2003-11-21</t>
        </is>
      </c>
      <c r="X590" t="inlineStr">
        <is>
          <t>2003-11-21</t>
        </is>
      </c>
      <c r="Y590" t="inlineStr">
        <is>
          <t>1994-07-29</t>
        </is>
      </c>
      <c r="Z590" t="inlineStr">
        <is>
          <t>1994-07-29</t>
        </is>
      </c>
      <c r="AA590" t="n">
        <v>24</v>
      </c>
      <c r="AB590" t="n">
        <v>13</v>
      </c>
      <c r="AC590" t="n">
        <v>125</v>
      </c>
      <c r="AD590" t="n">
        <v>1</v>
      </c>
      <c r="AE590" t="n">
        <v>1</v>
      </c>
      <c r="AF590" t="n">
        <v>0</v>
      </c>
      <c r="AG590" t="n">
        <v>4</v>
      </c>
      <c r="AH590" t="n">
        <v>0</v>
      </c>
      <c r="AI590" t="n">
        <v>1</v>
      </c>
      <c r="AJ590" t="n">
        <v>0</v>
      </c>
      <c r="AK590" t="n">
        <v>4</v>
      </c>
      <c r="AL590" t="n">
        <v>0</v>
      </c>
      <c r="AM590" t="n">
        <v>1</v>
      </c>
      <c r="AN590" t="n">
        <v>0</v>
      </c>
      <c r="AO590" t="n">
        <v>0</v>
      </c>
      <c r="AP590" t="n">
        <v>0</v>
      </c>
      <c r="AQ590" t="n">
        <v>0</v>
      </c>
      <c r="AR590" t="inlineStr">
        <is>
          <t>No</t>
        </is>
      </c>
      <c r="AS590" t="inlineStr">
        <is>
          <t>No</t>
        </is>
      </c>
      <c r="AU590">
        <f>HYPERLINK("https://creighton-primo.hosted.exlibrisgroup.com/primo-explore/search?tab=default_tab&amp;search_scope=EVERYTHING&amp;vid=01CRU&amp;lang=en_US&amp;offset=0&amp;query=any,contains,991001739529702656","Catalog Record")</f>
        <v/>
      </c>
      <c r="AV590">
        <f>HYPERLINK("http://www.worldcat.org/oclc/21978774","WorldCat Record")</f>
        <v/>
      </c>
      <c r="AW590" t="inlineStr">
        <is>
          <t>14053098:spa</t>
        </is>
      </c>
      <c r="AX590" t="inlineStr">
        <is>
          <t>21978774</t>
        </is>
      </c>
      <c r="AY590" t="inlineStr">
        <is>
          <t>991001739529702656</t>
        </is>
      </c>
      <c r="AZ590" t="inlineStr">
        <is>
          <t>991001739529702656</t>
        </is>
      </c>
      <c r="BA590" t="inlineStr">
        <is>
          <t>2269303960002656</t>
        </is>
      </c>
      <c r="BB590" t="inlineStr">
        <is>
          <t>BOOK</t>
        </is>
      </c>
      <c r="BD590" t="inlineStr">
        <is>
          <t>9788437603568</t>
        </is>
      </c>
      <c r="BE590" t="inlineStr">
        <is>
          <t>32285001934313</t>
        </is>
      </c>
      <c r="BF590" t="inlineStr">
        <is>
          <t>893509875</t>
        </is>
      </c>
    </row>
    <row r="591">
      <c r="A591" t="inlineStr">
        <is>
          <t>No</t>
        </is>
      </c>
      <c r="B591" t="inlineStr">
        <is>
          <t>CURAL</t>
        </is>
      </c>
      <c r="C591" t="inlineStr">
        <is>
          <t>SHELVES</t>
        </is>
      </c>
      <c r="D591" t="inlineStr">
        <is>
          <t>PQ6394 .S6 1991</t>
        </is>
      </c>
      <c r="E591" t="inlineStr">
        <is>
          <t>0                      PQ 6394000S  6           1991</t>
        </is>
      </c>
      <c r="F591" t="inlineStr">
        <is>
          <t>Soledades / Luis de Góngora ; edición de John Beverley.</t>
        </is>
      </c>
      <c r="H591" t="inlineStr">
        <is>
          <t>No</t>
        </is>
      </c>
      <c r="I591" t="inlineStr">
        <is>
          <t>1</t>
        </is>
      </c>
      <c r="J591" t="inlineStr">
        <is>
          <t>No</t>
        </is>
      </c>
      <c r="K591" t="inlineStr">
        <is>
          <t>No</t>
        </is>
      </c>
      <c r="L591" t="inlineStr">
        <is>
          <t>0</t>
        </is>
      </c>
      <c r="M591" t="inlineStr">
        <is>
          <t>Góngora y Argote, Luis de, 1561-1627.</t>
        </is>
      </c>
      <c r="N591" t="inlineStr">
        <is>
          <t>Madrid : Cátedra, c1991.</t>
        </is>
      </c>
      <c r="O591" t="inlineStr">
        <is>
          <t>1991</t>
        </is>
      </c>
      <c r="P591" t="inlineStr">
        <is>
          <t>7. ed.</t>
        </is>
      </c>
      <c r="Q591" t="inlineStr">
        <is>
          <t>spa</t>
        </is>
      </c>
      <c r="R591" t="inlineStr">
        <is>
          <t xml:space="preserve">sp </t>
        </is>
      </c>
      <c r="S591" t="inlineStr">
        <is>
          <t>Letras hispánicas ; 102</t>
        </is>
      </c>
      <c r="T591" t="inlineStr">
        <is>
          <t xml:space="preserve">PQ </t>
        </is>
      </c>
      <c r="U591" t="n">
        <v>4</v>
      </c>
      <c r="V591" t="n">
        <v>4</v>
      </c>
      <c r="W591" t="inlineStr">
        <is>
          <t>2003-11-21</t>
        </is>
      </c>
      <c r="X591" t="inlineStr">
        <is>
          <t>2003-11-21</t>
        </is>
      </c>
      <c r="Y591" t="inlineStr">
        <is>
          <t>1995-02-07</t>
        </is>
      </c>
      <c r="Z591" t="inlineStr">
        <is>
          <t>1995-02-07</t>
        </is>
      </c>
      <c r="AA591" t="n">
        <v>16</v>
      </c>
      <c r="AB591" t="n">
        <v>12</v>
      </c>
      <c r="AC591" t="n">
        <v>387</v>
      </c>
      <c r="AD591" t="n">
        <v>1</v>
      </c>
      <c r="AE591" t="n">
        <v>3</v>
      </c>
      <c r="AF591" t="n">
        <v>0</v>
      </c>
      <c r="AG591" t="n">
        <v>20</v>
      </c>
      <c r="AH591" t="n">
        <v>0</v>
      </c>
      <c r="AI591" t="n">
        <v>7</v>
      </c>
      <c r="AJ591" t="n">
        <v>0</v>
      </c>
      <c r="AK591" t="n">
        <v>8</v>
      </c>
      <c r="AL591" t="n">
        <v>0</v>
      </c>
      <c r="AM591" t="n">
        <v>8</v>
      </c>
      <c r="AN591" t="n">
        <v>0</v>
      </c>
      <c r="AO591" t="n">
        <v>2</v>
      </c>
      <c r="AP591" t="n">
        <v>0</v>
      </c>
      <c r="AQ591" t="n">
        <v>0</v>
      </c>
      <c r="AR591" t="inlineStr">
        <is>
          <t>No</t>
        </is>
      </c>
      <c r="AS591" t="inlineStr">
        <is>
          <t>No</t>
        </is>
      </c>
      <c r="AU591">
        <f>HYPERLINK("https://creighton-primo.hosted.exlibrisgroup.com/primo-explore/search?tab=default_tab&amp;search_scope=EVERYTHING&amp;vid=01CRU&amp;lang=en_US&amp;offset=0&amp;query=any,contains,991002290719702656","Catalog Record")</f>
        <v/>
      </c>
      <c r="AV591">
        <f>HYPERLINK("http://www.worldcat.org/oclc/29693788","WorldCat Record")</f>
        <v/>
      </c>
      <c r="AW591" t="inlineStr">
        <is>
          <t>15383:spa</t>
        </is>
      </c>
      <c r="AX591" t="inlineStr">
        <is>
          <t>29693788</t>
        </is>
      </c>
      <c r="AY591" t="inlineStr">
        <is>
          <t>991002290719702656</t>
        </is>
      </c>
      <c r="AZ591" t="inlineStr">
        <is>
          <t>991002290719702656</t>
        </is>
      </c>
      <c r="BA591" t="inlineStr">
        <is>
          <t>2254821000002656</t>
        </is>
      </c>
      <c r="BB591" t="inlineStr">
        <is>
          <t>BOOK</t>
        </is>
      </c>
      <c r="BD591" t="inlineStr">
        <is>
          <t>9788437601991</t>
        </is>
      </c>
      <c r="BE591" t="inlineStr">
        <is>
          <t>32285001997641</t>
        </is>
      </c>
      <c r="BF591" t="inlineStr">
        <is>
          <t>893415028</t>
        </is>
      </c>
    </row>
    <row r="592">
      <c r="A592" t="inlineStr">
        <is>
          <t>No</t>
        </is>
      </c>
      <c r="B592" t="inlineStr">
        <is>
          <t>CURAL</t>
        </is>
      </c>
      <c r="C592" t="inlineStr">
        <is>
          <t>SHELVES</t>
        </is>
      </c>
      <c r="D592" t="inlineStr">
        <is>
          <t>PQ6394.P63 A5</t>
        </is>
      </c>
      <c r="E592" t="inlineStr">
        <is>
          <t>0                      PQ 6394000P  63                 A  5</t>
        </is>
      </c>
      <c r="F592" t="inlineStr">
        <is>
          <t>Góngora, su tiempo y su obra; estudio crítico sobre Polifemo.</t>
        </is>
      </c>
      <c r="H592" t="inlineStr">
        <is>
          <t>No</t>
        </is>
      </c>
      <c r="I592" t="inlineStr">
        <is>
          <t>1</t>
        </is>
      </c>
      <c r="J592" t="inlineStr">
        <is>
          <t>No</t>
        </is>
      </c>
      <c r="K592" t="inlineStr">
        <is>
          <t>No</t>
        </is>
      </c>
      <c r="L592" t="inlineStr">
        <is>
          <t>0</t>
        </is>
      </c>
      <c r="M592" t="inlineStr">
        <is>
          <t>Aguirre, José Luis.</t>
        </is>
      </c>
      <c r="N592" t="inlineStr">
        <is>
          <t>Madrid, Editorial M.A.S., 1960.</t>
        </is>
      </c>
      <c r="O592" t="inlineStr">
        <is>
          <t>1960</t>
        </is>
      </c>
      <c r="Q592" t="inlineStr">
        <is>
          <t>spa</t>
        </is>
      </c>
      <c r="R592" t="inlineStr">
        <is>
          <t xml:space="preserve">xx </t>
        </is>
      </c>
      <c r="S592" t="inlineStr">
        <is>
          <t>Colección Estudio y vida</t>
        </is>
      </c>
      <c r="T592" t="inlineStr">
        <is>
          <t xml:space="preserve">PQ </t>
        </is>
      </c>
      <c r="U592" t="n">
        <v>2</v>
      </c>
      <c r="V592" t="n">
        <v>2</v>
      </c>
      <c r="W592" t="inlineStr">
        <is>
          <t>2003-11-21</t>
        </is>
      </c>
      <c r="X592" t="inlineStr">
        <is>
          <t>2003-11-21</t>
        </is>
      </c>
      <c r="Y592" t="inlineStr">
        <is>
          <t>1997-07-02</t>
        </is>
      </c>
      <c r="Z592" t="inlineStr">
        <is>
          <t>1997-07-02</t>
        </is>
      </c>
      <c r="AA592" t="n">
        <v>69</v>
      </c>
      <c r="AB592" t="n">
        <v>52</v>
      </c>
      <c r="AC592" t="n">
        <v>54</v>
      </c>
      <c r="AD592" t="n">
        <v>2</v>
      </c>
      <c r="AE592" t="n">
        <v>2</v>
      </c>
      <c r="AF592" t="n">
        <v>4</v>
      </c>
      <c r="AG592" t="n">
        <v>4</v>
      </c>
      <c r="AH592" t="n">
        <v>1</v>
      </c>
      <c r="AI592" t="n">
        <v>1</v>
      </c>
      <c r="AJ592" t="n">
        <v>1</v>
      </c>
      <c r="AK592" t="n">
        <v>1</v>
      </c>
      <c r="AL592" t="n">
        <v>3</v>
      </c>
      <c r="AM592" t="n">
        <v>3</v>
      </c>
      <c r="AN592" t="n">
        <v>1</v>
      </c>
      <c r="AO592" t="n">
        <v>1</v>
      </c>
      <c r="AP592" t="n">
        <v>0</v>
      </c>
      <c r="AQ592" t="n">
        <v>0</v>
      </c>
      <c r="AR592" t="inlineStr">
        <is>
          <t>No</t>
        </is>
      </c>
      <c r="AS592" t="inlineStr">
        <is>
          <t>Yes</t>
        </is>
      </c>
      <c r="AT592">
        <f>HYPERLINK("http://catalog.hathitrust.org/Record/001051642","HathiTrust Record")</f>
        <v/>
      </c>
      <c r="AU592">
        <f>HYPERLINK("https://creighton-primo.hosted.exlibrisgroup.com/primo-explore/search?tab=default_tab&amp;search_scope=EVERYTHING&amp;vid=01CRU&amp;lang=en_US&amp;offset=0&amp;query=any,contains,991003555869702656","Catalog Record")</f>
        <v/>
      </c>
      <c r="AV592">
        <f>HYPERLINK("http://www.worldcat.org/oclc/1124196","WorldCat Record")</f>
        <v/>
      </c>
      <c r="AW592" t="inlineStr">
        <is>
          <t>287899808:spa</t>
        </is>
      </c>
      <c r="AX592" t="inlineStr">
        <is>
          <t>1124196</t>
        </is>
      </c>
      <c r="AY592" t="inlineStr">
        <is>
          <t>991003555869702656</t>
        </is>
      </c>
      <c r="AZ592" t="inlineStr">
        <is>
          <t>991003555869702656</t>
        </is>
      </c>
      <c r="BA592" t="inlineStr">
        <is>
          <t>2269470420002656</t>
        </is>
      </c>
      <c r="BB592" t="inlineStr">
        <is>
          <t>BOOK</t>
        </is>
      </c>
      <c r="BE592" t="inlineStr">
        <is>
          <t>32285002518982</t>
        </is>
      </c>
      <c r="BF592" t="inlineStr">
        <is>
          <t>893518614</t>
        </is>
      </c>
    </row>
    <row r="593">
      <c r="A593" t="inlineStr">
        <is>
          <t>No</t>
        </is>
      </c>
      <c r="B593" t="inlineStr">
        <is>
          <t>CURAL</t>
        </is>
      </c>
      <c r="C593" t="inlineStr">
        <is>
          <t>SHELVES</t>
        </is>
      </c>
      <c r="D593" t="inlineStr">
        <is>
          <t>PQ6395 .A46 1960</t>
        </is>
      </c>
      <c r="E593" t="inlineStr">
        <is>
          <t>0                      PQ 6395000A  46          1960</t>
        </is>
      </c>
      <c r="F593" t="inlineStr">
        <is>
          <t>Estudios y ensayos gongorinos.</t>
        </is>
      </c>
      <c r="H593" t="inlineStr">
        <is>
          <t>No</t>
        </is>
      </c>
      <c r="I593" t="inlineStr">
        <is>
          <t>1</t>
        </is>
      </c>
      <c r="J593" t="inlineStr">
        <is>
          <t>No</t>
        </is>
      </c>
      <c r="K593" t="inlineStr">
        <is>
          <t>No</t>
        </is>
      </c>
      <c r="L593" t="inlineStr">
        <is>
          <t>0</t>
        </is>
      </c>
      <c r="M593" t="inlineStr">
        <is>
          <t>Alonso, Dámaso, 1898-1990.</t>
        </is>
      </c>
      <c r="N593" t="inlineStr">
        <is>
          <t>Madrid, Editorial Gredos [c1960]</t>
        </is>
      </c>
      <c r="O593" t="inlineStr">
        <is>
          <t>1960</t>
        </is>
      </c>
      <c r="P593" t="inlineStr">
        <is>
          <t>2. ed.</t>
        </is>
      </c>
      <c r="Q593" t="inlineStr">
        <is>
          <t>spa</t>
        </is>
      </c>
      <c r="R593" t="inlineStr">
        <is>
          <t xml:space="preserve">sp </t>
        </is>
      </c>
      <c r="S593" t="inlineStr">
        <is>
          <t>Biblioteca románica hispánica. 2. Estudios y ensayos, 18</t>
        </is>
      </c>
      <c r="T593" t="inlineStr">
        <is>
          <t xml:space="preserve">PQ </t>
        </is>
      </c>
      <c r="U593" t="n">
        <v>3</v>
      </c>
      <c r="V593" t="n">
        <v>3</v>
      </c>
      <c r="W593" t="inlineStr">
        <is>
          <t>1999-10-29</t>
        </is>
      </c>
      <c r="X593" t="inlineStr">
        <is>
          <t>1999-10-29</t>
        </is>
      </c>
      <c r="Y593" t="inlineStr">
        <is>
          <t>1997-07-08</t>
        </is>
      </c>
      <c r="Z593" t="inlineStr">
        <is>
          <t>1997-07-08</t>
        </is>
      </c>
      <c r="AA593" t="n">
        <v>353</v>
      </c>
      <c r="AB593" t="n">
        <v>289</v>
      </c>
      <c r="AC593" t="n">
        <v>416</v>
      </c>
      <c r="AD593" t="n">
        <v>3</v>
      </c>
      <c r="AE593" t="n">
        <v>5</v>
      </c>
      <c r="AF593" t="n">
        <v>14</v>
      </c>
      <c r="AG593" t="n">
        <v>23</v>
      </c>
      <c r="AH593" t="n">
        <v>6</v>
      </c>
      <c r="AI593" t="n">
        <v>9</v>
      </c>
      <c r="AJ593" t="n">
        <v>3</v>
      </c>
      <c r="AK593" t="n">
        <v>5</v>
      </c>
      <c r="AL593" t="n">
        <v>8</v>
      </c>
      <c r="AM593" t="n">
        <v>12</v>
      </c>
      <c r="AN593" t="n">
        <v>2</v>
      </c>
      <c r="AO593" t="n">
        <v>4</v>
      </c>
      <c r="AP593" t="n">
        <v>0</v>
      </c>
      <c r="AQ593" t="n">
        <v>0</v>
      </c>
      <c r="AR593" t="inlineStr">
        <is>
          <t>No</t>
        </is>
      </c>
      <c r="AS593" t="inlineStr">
        <is>
          <t>Yes</t>
        </is>
      </c>
      <c r="AT593">
        <f>HYPERLINK("http://catalog.hathitrust.org/Record/008453593","HathiTrust Record")</f>
        <v/>
      </c>
      <c r="AU593">
        <f>HYPERLINK("https://creighton-primo.hosted.exlibrisgroup.com/primo-explore/search?tab=default_tab&amp;search_scope=EVERYTHING&amp;vid=01CRU&amp;lang=en_US&amp;offset=0&amp;query=any,contains,991002428869702656","Catalog Record")</f>
        <v/>
      </c>
      <c r="AV593">
        <f>HYPERLINK("http://www.worldcat.org/oclc/346078","WorldCat Record")</f>
        <v/>
      </c>
      <c r="AW593" t="inlineStr">
        <is>
          <t>59515466:spa</t>
        </is>
      </c>
      <c r="AX593" t="inlineStr">
        <is>
          <t>346078</t>
        </is>
      </c>
      <c r="AY593" t="inlineStr">
        <is>
          <t>991002428869702656</t>
        </is>
      </c>
      <c r="AZ593" t="inlineStr">
        <is>
          <t>991002428869702656</t>
        </is>
      </c>
      <c r="BA593" t="inlineStr">
        <is>
          <t>2271966720002656</t>
        </is>
      </c>
      <c r="BB593" t="inlineStr">
        <is>
          <t>BOOK</t>
        </is>
      </c>
      <c r="BE593" t="inlineStr">
        <is>
          <t>32285002519030</t>
        </is>
      </c>
      <c r="BF593" t="inlineStr">
        <is>
          <t>893892538</t>
        </is>
      </c>
    </row>
    <row r="594">
      <c r="A594" t="inlineStr">
        <is>
          <t>No</t>
        </is>
      </c>
      <c r="B594" t="inlineStr">
        <is>
          <t>CURAL</t>
        </is>
      </c>
      <c r="C594" t="inlineStr">
        <is>
          <t>SHELVES</t>
        </is>
      </c>
      <c r="D594" t="inlineStr">
        <is>
          <t>PQ6397.A8 M5</t>
        </is>
      </c>
      <c r="E594" t="inlineStr">
        <is>
          <t>0                      PQ 6397000A  8                  M  5</t>
        </is>
      </c>
      <c r="F594" t="inlineStr">
        <is>
          <t>Análisis estilístico de los "Milagros de Nuestra Señora" de Berceo.</t>
        </is>
      </c>
      <c r="H594" t="inlineStr">
        <is>
          <t>No</t>
        </is>
      </c>
      <c r="I594" t="inlineStr">
        <is>
          <t>1</t>
        </is>
      </c>
      <c r="J594" t="inlineStr">
        <is>
          <t>No</t>
        </is>
      </c>
      <c r="K594" t="inlineStr">
        <is>
          <t>No</t>
        </is>
      </c>
      <c r="L594" t="inlineStr">
        <is>
          <t>0</t>
        </is>
      </c>
      <c r="M594" t="inlineStr">
        <is>
          <t>Gariano, Carmelo.</t>
        </is>
      </c>
      <c r="N594" t="inlineStr">
        <is>
          <t>Madrid, Editorial Gredos [1965]</t>
        </is>
      </c>
      <c r="O594" t="inlineStr">
        <is>
          <t>1965</t>
        </is>
      </c>
      <c r="Q594" t="inlineStr">
        <is>
          <t>spa</t>
        </is>
      </c>
      <c r="R594" t="inlineStr">
        <is>
          <t xml:space="preserve">sp </t>
        </is>
      </c>
      <c r="S594" t="inlineStr">
        <is>
          <t>Biblioteca románica hispánica. 2. Estudios y ensayos</t>
        </is>
      </c>
      <c r="T594" t="inlineStr">
        <is>
          <t xml:space="preserve">PQ </t>
        </is>
      </c>
      <c r="U594" t="n">
        <v>5</v>
      </c>
      <c r="V594" t="n">
        <v>5</v>
      </c>
      <c r="W594" t="inlineStr">
        <is>
          <t>2000-03-02</t>
        </is>
      </c>
      <c r="X594" t="inlineStr">
        <is>
          <t>2000-03-02</t>
        </is>
      </c>
      <c r="Y594" t="inlineStr">
        <is>
          <t>1997-07-08</t>
        </is>
      </c>
      <c r="Z594" t="inlineStr">
        <is>
          <t>1997-07-08</t>
        </is>
      </c>
      <c r="AA594" t="n">
        <v>341</v>
      </c>
      <c r="AB594" t="n">
        <v>268</v>
      </c>
      <c r="AC594" t="n">
        <v>290</v>
      </c>
      <c r="AD594" t="n">
        <v>2</v>
      </c>
      <c r="AE594" t="n">
        <v>3</v>
      </c>
      <c r="AF594" t="n">
        <v>13</v>
      </c>
      <c r="AG594" t="n">
        <v>14</v>
      </c>
      <c r="AH594" t="n">
        <v>6</v>
      </c>
      <c r="AI594" t="n">
        <v>6</v>
      </c>
      <c r="AJ594" t="n">
        <v>3</v>
      </c>
      <c r="AK594" t="n">
        <v>3</v>
      </c>
      <c r="AL594" t="n">
        <v>8</v>
      </c>
      <c r="AM594" t="n">
        <v>8</v>
      </c>
      <c r="AN594" t="n">
        <v>1</v>
      </c>
      <c r="AO594" t="n">
        <v>2</v>
      </c>
      <c r="AP594" t="n">
        <v>0</v>
      </c>
      <c r="AQ594" t="n">
        <v>0</v>
      </c>
      <c r="AR594" t="inlineStr">
        <is>
          <t>No</t>
        </is>
      </c>
      <c r="AS594" t="inlineStr">
        <is>
          <t>Yes</t>
        </is>
      </c>
      <c r="AT594">
        <f>HYPERLINK("http://catalog.hathitrust.org/Record/001051703","HathiTrust Record")</f>
        <v/>
      </c>
      <c r="AU594">
        <f>HYPERLINK("https://creighton-primo.hosted.exlibrisgroup.com/primo-explore/search?tab=default_tab&amp;search_scope=EVERYTHING&amp;vid=01CRU&amp;lang=en_US&amp;offset=0&amp;query=any,contains,991002431749702656","Catalog Record")</f>
        <v/>
      </c>
      <c r="AV594">
        <f>HYPERLINK("http://www.worldcat.org/oclc/347381","WorldCat Record")</f>
        <v/>
      </c>
      <c r="AW594" t="inlineStr">
        <is>
          <t>5090477060:spa</t>
        </is>
      </c>
      <c r="AX594" t="inlineStr">
        <is>
          <t>347381</t>
        </is>
      </c>
      <c r="AY594" t="inlineStr">
        <is>
          <t>991002431749702656</t>
        </is>
      </c>
      <c r="AZ594" t="inlineStr">
        <is>
          <t>991002431749702656</t>
        </is>
      </c>
      <c r="BA594" t="inlineStr">
        <is>
          <t>2272429540002656</t>
        </is>
      </c>
      <c r="BB594" t="inlineStr">
        <is>
          <t>BOOK</t>
        </is>
      </c>
      <c r="BE594" t="inlineStr">
        <is>
          <t>32285002519089</t>
        </is>
      </c>
      <c r="BF594" t="inlineStr">
        <is>
          <t>893716443</t>
        </is>
      </c>
    </row>
    <row r="595">
      <c r="A595" t="inlineStr">
        <is>
          <t>No</t>
        </is>
      </c>
      <c r="B595" t="inlineStr">
        <is>
          <t>CURAL</t>
        </is>
      </c>
      <c r="C595" t="inlineStr">
        <is>
          <t>SHELVES</t>
        </is>
      </c>
      <c r="D595" t="inlineStr">
        <is>
          <t>PQ6397.V5 D8 1984</t>
        </is>
      </c>
      <c r="E595" t="inlineStr">
        <is>
          <t>0                      PQ 6397000V  5                  D  8           1984</t>
        </is>
      </c>
      <c r="F595" t="inlineStr">
        <is>
          <t>La Vida de San Millán de la Cogolla / Gonzalo de Berceo ; estudio y edición crítica por Brian Dutton.</t>
        </is>
      </c>
      <c r="H595" t="inlineStr">
        <is>
          <t>No</t>
        </is>
      </c>
      <c r="I595" t="inlineStr">
        <is>
          <t>1</t>
        </is>
      </c>
      <c r="J595" t="inlineStr">
        <is>
          <t>No</t>
        </is>
      </c>
      <c r="K595" t="inlineStr">
        <is>
          <t>No</t>
        </is>
      </c>
      <c r="L595" t="inlineStr">
        <is>
          <t>0</t>
        </is>
      </c>
      <c r="M595" t="inlineStr">
        <is>
          <t>Dutton, Brian.</t>
        </is>
      </c>
      <c r="N595" t="inlineStr">
        <is>
          <t>London : Tamesis Books, 1984, c1967.</t>
        </is>
      </c>
      <c r="O595" t="inlineStr">
        <is>
          <t>1984</t>
        </is>
      </c>
      <c r="P595" t="inlineStr">
        <is>
          <t>2a ed., corr. y aum.</t>
        </is>
      </c>
      <c r="Q595" t="inlineStr">
        <is>
          <t>spa</t>
        </is>
      </c>
      <c r="R595" t="inlineStr">
        <is>
          <t>enk</t>
        </is>
      </c>
      <c r="S595" t="inlineStr">
        <is>
          <t>Colección Tamesis. Ser. A, monografias ; 4</t>
        </is>
      </c>
      <c r="T595" t="inlineStr">
        <is>
          <t xml:space="preserve">PQ </t>
        </is>
      </c>
      <c r="U595" t="n">
        <v>2</v>
      </c>
      <c r="V595" t="n">
        <v>2</v>
      </c>
      <c r="W595" t="inlineStr">
        <is>
          <t>2005-03-22</t>
        </is>
      </c>
      <c r="X595" t="inlineStr">
        <is>
          <t>2005-03-22</t>
        </is>
      </c>
      <c r="Y595" t="inlineStr">
        <is>
          <t>2005-03-22</t>
        </is>
      </c>
      <c r="Z595" t="inlineStr">
        <is>
          <t>2005-03-22</t>
        </is>
      </c>
      <c r="AA595" t="n">
        <v>33</v>
      </c>
      <c r="AB595" t="n">
        <v>31</v>
      </c>
      <c r="AC595" t="n">
        <v>32</v>
      </c>
      <c r="AD595" t="n">
        <v>2</v>
      </c>
      <c r="AE595" t="n">
        <v>2</v>
      </c>
      <c r="AF595" t="n">
        <v>3</v>
      </c>
      <c r="AG595" t="n">
        <v>3</v>
      </c>
      <c r="AH595" t="n">
        <v>1</v>
      </c>
      <c r="AI595" t="n">
        <v>1</v>
      </c>
      <c r="AJ595" t="n">
        <v>0</v>
      </c>
      <c r="AK595" t="n">
        <v>0</v>
      </c>
      <c r="AL595" t="n">
        <v>1</v>
      </c>
      <c r="AM595" t="n">
        <v>1</v>
      </c>
      <c r="AN595" t="n">
        <v>1</v>
      </c>
      <c r="AO595" t="n">
        <v>1</v>
      </c>
      <c r="AP595" t="n">
        <v>0</v>
      </c>
      <c r="AQ595" t="n">
        <v>0</v>
      </c>
      <c r="AR595" t="inlineStr">
        <is>
          <t>No</t>
        </is>
      </c>
      <c r="AS595" t="inlineStr">
        <is>
          <t>No</t>
        </is>
      </c>
      <c r="AU595">
        <f>HYPERLINK("https://creighton-primo.hosted.exlibrisgroup.com/primo-explore/search?tab=default_tab&amp;search_scope=EVERYTHING&amp;vid=01CRU&amp;lang=en_US&amp;offset=0&amp;query=any,contains,991004508359702656","Catalog Record")</f>
        <v/>
      </c>
      <c r="AV595">
        <f>HYPERLINK("http://www.worldcat.org/oclc/11904870","WorldCat Record")</f>
        <v/>
      </c>
      <c r="AW595" t="inlineStr">
        <is>
          <t>10278873516:spa</t>
        </is>
      </c>
      <c r="AX595" t="inlineStr">
        <is>
          <t>11904870</t>
        </is>
      </c>
      <c r="AY595" t="inlineStr">
        <is>
          <t>991004508359702656</t>
        </is>
      </c>
      <c r="AZ595" t="inlineStr">
        <is>
          <t>991004508359702656</t>
        </is>
      </c>
      <c r="BA595" t="inlineStr">
        <is>
          <t>2254976790002656</t>
        </is>
      </c>
      <c r="BB595" t="inlineStr">
        <is>
          <t>BOOK</t>
        </is>
      </c>
      <c r="BD595" t="inlineStr">
        <is>
          <t>9788449973314</t>
        </is>
      </c>
      <c r="BE595" t="inlineStr">
        <is>
          <t>32285005029656</t>
        </is>
      </c>
      <c r="BF595" t="inlineStr">
        <is>
          <t>893807151</t>
        </is>
      </c>
    </row>
    <row r="596">
      <c r="A596" t="inlineStr">
        <is>
          <t>No</t>
        </is>
      </c>
      <c r="B596" t="inlineStr">
        <is>
          <t>CURAL</t>
        </is>
      </c>
      <c r="C596" t="inlineStr">
        <is>
          <t>SHELVES</t>
        </is>
      </c>
      <c r="D596" t="inlineStr">
        <is>
          <t>PQ6397.Z5 K4</t>
        </is>
      </c>
      <c r="E596" t="inlineStr">
        <is>
          <t>0                      PQ 6397000Z  5                  K  4</t>
        </is>
      </c>
      <c r="F596" t="inlineStr">
        <is>
          <t>Gonzalo de Berceo.</t>
        </is>
      </c>
      <c r="H596" t="inlineStr">
        <is>
          <t>No</t>
        </is>
      </c>
      <c r="I596" t="inlineStr">
        <is>
          <t>1</t>
        </is>
      </c>
      <c r="J596" t="inlineStr">
        <is>
          <t>No</t>
        </is>
      </c>
      <c r="K596" t="inlineStr">
        <is>
          <t>No</t>
        </is>
      </c>
      <c r="L596" t="inlineStr">
        <is>
          <t>0</t>
        </is>
      </c>
      <c r="M596" t="inlineStr">
        <is>
          <t>Keller, John Esten.</t>
        </is>
      </c>
      <c r="N596" t="inlineStr">
        <is>
          <t>New York : Twayne Publishers, [1972]</t>
        </is>
      </c>
      <c r="O596" t="inlineStr">
        <is>
          <t>1972</t>
        </is>
      </c>
      <c r="Q596" t="inlineStr">
        <is>
          <t>eng</t>
        </is>
      </c>
      <c r="R596" t="inlineStr">
        <is>
          <t>nyu</t>
        </is>
      </c>
      <c r="S596" t="inlineStr">
        <is>
          <t>Twayne's world authors series, TWAS 187. Spain</t>
        </is>
      </c>
      <c r="T596" t="inlineStr">
        <is>
          <t xml:space="preserve">PQ </t>
        </is>
      </c>
      <c r="U596" t="n">
        <v>10</v>
      </c>
      <c r="V596" t="n">
        <v>10</v>
      </c>
      <c r="W596" t="inlineStr">
        <is>
          <t>2004-11-01</t>
        </is>
      </c>
      <c r="X596" t="inlineStr">
        <is>
          <t>2004-11-01</t>
        </is>
      </c>
      <c r="Y596" t="inlineStr">
        <is>
          <t>1991-06-13</t>
        </is>
      </c>
      <c r="Z596" t="inlineStr">
        <is>
          <t>1991-06-13</t>
        </is>
      </c>
      <c r="AA596" t="n">
        <v>661</v>
      </c>
      <c r="AB596" t="n">
        <v>587</v>
      </c>
      <c r="AC596" t="n">
        <v>595</v>
      </c>
      <c r="AD596" t="n">
        <v>6</v>
      </c>
      <c r="AE596" t="n">
        <v>6</v>
      </c>
      <c r="AF596" t="n">
        <v>32</v>
      </c>
      <c r="AG596" t="n">
        <v>32</v>
      </c>
      <c r="AH596" t="n">
        <v>12</v>
      </c>
      <c r="AI596" t="n">
        <v>12</v>
      </c>
      <c r="AJ596" t="n">
        <v>7</v>
      </c>
      <c r="AK596" t="n">
        <v>7</v>
      </c>
      <c r="AL596" t="n">
        <v>18</v>
      </c>
      <c r="AM596" t="n">
        <v>18</v>
      </c>
      <c r="AN596" t="n">
        <v>5</v>
      </c>
      <c r="AO596" t="n">
        <v>5</v>
      </c>
      <c r="AP596" t="n">
        <v>0</v>
      </c>
      <c r="AQ596" t="n">
        <v>0</v>
      </c>
      <c r="AR596" t="inlineStr">
        <is>
          <t>No</t>
        </is>
      </c>
      <c r="AS596" t="inlineStr">
        <is>
          <t>Yes</t>
        </is>
      </c>
      <c r="AT596">
        <f>HYPERLINK("http://catalog.hathitrust.org/Record/001051705","HathiTrust Record")</f>
        <v/>
      </c>
      <c r="AU596">
        <f>HYPERLINK("https://creighton-primo.hosted.exlibrisgroup.com/primo-explore/search?tab=default_tab&amp;search_scope=EVERYTHING&amp;vid=01CRU&amp;lang=en_US&amp;offset=0&amp;query=any,contains,991002434119702656","Catalog Record")</f>
        <v/>
      </c>
      <c r="AV596">
        <f>HYPERLINK("http://www.worldcat.org/oclc/348308","WorldCat Record")</f>
        <v/>
      </c>
      <c r="AW596" t="inlineStr">
        <is>
          <t>1504127:eng</t>
        </is>
      </c>
      <c r="AX596" t="inlineStr">
        <is>
          <t>348308</t>
        </is>
      </c>
      <c r="AY596" t="inlineStr">
        <is>
          <t>991002434119702656</t>
        </is>
      </c>
      <c r="AZ596" t="inlineStr">
        <is>
          <t>991002434119702656</t>
        </is>
      </c>
      <c r="BA596" t="inlineStr">
        <is>
          <t>2271180520002656</t>
        </is>
      </c>
      <c r="BB596" t="inlineStr">
        <is>
          <t>BOOK</t>
        </is>
      </c>
      <c r="BE596" t="inlineStr">
        <is>
          <t>32285000599927</t>
        </is>
      </c>
      <c r="BF596" t="inlineStr">
        <is>
          <t>893886269</t>
        </is>
      </c>
    </row>
    <row r="597">
      <c r="A597" t="inlineStr">
        <is>
          <t>No</t>
        </is>
      </c>
      <c r="B597" t="inlineStr">
        <is>
          <t>CURAL</t>
        </is>
      </c>
      <c r="C597" t="inlineStr">
        <is>
          <t>SHELVES</t>
        </is>
      </c>
      <c r="D597" t="inlineStr">
        <is>
          <t>PQ6398.G3 O8 1967</t>
        </is>
      </c>
      <c r="E597" t="inlineStr">
        <is>
          <t>0                      PQ 6398000G  3                  O  8           1967</t>
        </is>
      </c>
      <c r="F597" t="inlineStr">
        <is>
          <t>The science of success and the art of prudence / translated by Lawrence C. Lockley.</t>
        </is>
      </c>
      <c r="H597" t="inlineStr">
        <is>
          <t>No</t>
        </is>
      </c>
      <c r="I597" t="inlineStr">
        <is>
          <t>1</t>
        </is>
      </c>
      <c r="J597" t="inlineStr">
        <is>
          <t>No</t>
        </is>
      </c>
      <c r="K597" t="inlineStr">
        <is>
          <t>Yes</t>
        </is>
      </c>
      <c r="L597" t="inlineStr">
        <is>
          <t>0</t>
        </is>
      </c>
      <c r="M597" t="inlineStr">
        <is>
          <t>Gracián y Morales, Baltasar, 1601-1658.</t>
        </is>
      </c>
      <c r="N597" t="inlineStr">
        <is>
          <t>[San Jose, Calif. : University of Santa Clara Press, 1967]</t>
        </is>
      </c>
      <c r="O597" t="inlineStr">
        <is>
          <t>1967</t>
        </is>
      </c>
      <c r="Q597" t="inlineStr">
        <is>
          <t>eng</t>
        </is>
      </c>
      <c r="R597" t="inlineStr">
        <is>
          <t>cau</t>
        </is>
      </c>
      <c r="T597" t="inlineStr">
        <is>
          <t xml:space="preserve">PQ </t>
        </is>
      </c>
      <c r="U597" t="n">
        <v>2</v>
      </c>
      <c r="V597" t="n">
        <v>2</v>
      </c>
      <c r="W597" t="inlineStr">
        <is>
          <t>2003-06-17</t>
        </is>
      </c>
      <c r="X597" t="inlineStr">
        <is>
          <t>2003-06-17</t>
        </is>
      </c>
      <c r="Y597" t="inlineStr">
        <is>
          <t>1997-07-09</t>
        </is>
      </c>
      <c r="Z597" t="inlineStr">
        <is>
          <t>1997-07-09</t>
        </is>
      </c>
      <c r="AA597" t="n">
        <v>93</v>
      </c>
      <c r="AB597" t="n">
        <v>90</v>
      </c>
      <c r="AC597" t="n">
        <v>1209</v>
      </c>
      <c r="AD597" t="n">
        <v>2</v>
      </c>
      <c r="AE597" t="n">
        <v>12</v>
      </c>
      <c r="AF597" t="n">
        <v>11</v>
      </c>
      <c r="AG597" t="n">
        <v>39</v>
      </c>
      <c r="AH597" t="n">
        <v>3</v>
      </c>
      <c r="AI597" t="n">
        <v>12</v>
      </c>
      <c r="AJ597" t="n">
        <v>2</v>
      </c>
      <c r="AK597" t="n">
        <v>9</v>
      </c>
      <c r="AL597" t="n">
        <v>9</v>
      </c>
      <c r="AM597" t="n">
        <v>21</v>
      </c>
      <c r="AN597" t="n">
        <v>1</v>
      </c>
      <c r="AO597" t="n">
        <v>6</v>
      </c>
      <c r="AP597" t="n">
        <v>0</v>
      </c>
      <c r="AQ597" t="n">
        <v>1</v>
      </c>
      <c r="AR597" t="inlineStr">
        <is>
          <t>No</t>
        </is>
      </c>
      <c r="AS597" t="inlineStr">
        <is>
          <t>Yes</t>
        </is>
      </c>
      <c r="AT597">
        <f>HYPERLINK("http://catalog.hathitrust.org/Record/001051736","HathiTrust Record")</f>
        <v/>
      </c>
      <c r="AU597">
        <f>HYPERLINK("https://creighton-primo.hosted.exlibrisgroup.com/primo-explore/search?tab=default_tab&amp;search_scope=EVERYTHING&amp;vid=01CRU&amp;lang=en_US&amp;offset=0&amp;query=any,contains,991002687439702656","Catalog Record")</f>
        <v/>
      </c>
      <c r="AV597">
        <f>HYPERLINK("http://www.worldcat.org/oclc/1058525","WorldCat Record")</f>
        <v/>
      </c>
      <c r="AW597" t="inlineStr">
        <is>
          <t>3192934:eng</t>
        </is>
      </c>
      <c r="AX597" t="inlineStr">
        <is>
          <t>1058525</t>
        </is>
      </c>
      <c r="AY597" t="inlineStr">
        <is>
          <t>991002687439702656</t>
        </is>
      </c>
      <c r="AZ597" t="inlineStr">
        <is>
          <t>991002687439702656</t>
        </is>
      </c>
      <c r="BA597" t="inlineStr">
        <is>
          <t>2271627720002656</t>
        </is>
      </c>
      <c r="BB597" t="inlineStr">
        <is>
          <t>BOOK</t>
        </is>
      </c>
      <c r="BE597" t="inlineStr">
        <is>
          <t>32285002519162</t>
        </is>
      </c>
      <c r="BF597" t="inlineStr">
        <is>
          <t>893530327</t>
        </is>
      </c>
    </row>
    <row r="598">
      <c r="A598" t="inlineStr">
        <is>
          <t>No</t>
        </is>
      </c>
      <c r="B598" t="inlineStr">
        <is>
          <t>CURAL</t>
        </is>
      </c>
      <c r="C598" t="inlineStr">
        <is>
          <t>SHELVES</t>
        </is>
      </c>
      <c r="D598" t="inlineStr">
        <is>
          <t>PQ6400.J8 Z88 1995</t>
        </is>
      </c>
      <c r="E598" t="inlineStr">
        <is>
          <t>0                      PQ 6400000J  8                  Z  88          1995</t>
        </is>
      </c>
      <c r="F598" t="inlineStr">
        <is>
          <t>El verbo iluminado : homenaje de los escritores de Venezuela a San Juan de la Cruz en el IV centenario de su muerte.</t>
        </is>
      </c>
      <c r="H598" t="inlineStr">
        <is>
          <t>No</t>
        </is>
      </c>
      <c r="I598" t="inlineStr">
        <is>
          <t>1</t>
        </is>
      </c>
      <c r="J598" t="inlineStr">
        <is>
          <t>No</t>
        </is>
      </c>
      <c r="K598" t="inlineStr">
        <is>
          <t>No</t>
        </is>
      </c>
      <c r="L598" t="inlineStr">
        <is>
          <t>0</t>
        </is>
      </c>
      <c r="N598" t="inlineStr">
        <is>
          <t>Caracas : Fondo Editorial "Orlando Araujo," Federaciaon de Asociaciones de Escritores de Venezuela, 1995.</t>
        </is>
      </c>
      <c r="O598" t="inlineStr">
        <is>
          <t>1995</t>
        </is>
      </c>
      <c r="P598" t="inlineStr">
        <is>
          <t>1. ed.</t>
        </is>
      </c>
      <c r="Q598" t="inlineStr">
        <is>
          <t>spa</t>
        </is>
      </c>
      <c r="R598" t="inlineStr">
        <is>
          <t xml:space="preserve">ve </t>
        </is>
      </c>
      <c r="T598" t="inlineStr">
        <is>
          <t xml:space="preserve">PQ </t>
        </is>
      </c>
      <c r="U598" t="n">
        <v>2</v>
      </c>
      <c r="V598" t="n">
        <v>2</v>
      </c>
      <c r="W598" t="inlineStr">
        <is>
          <t>2004-08-04</t>
        </is>
      </c>
      <c r="X598" t="inlineStr">
        <is>
          <t>2004-08-04</t>
        </is>
      </c>
      <c r="Y598" t="inlineStr">
        <is>
          <t>2004-08-04</t>
        </is>
      </c>
      <c r="Z598" t="inlineStr">
        <is>
          <t>2004-08-04</t>
        </is>
      </c>
      <c r="AA598" t="n">
        <v>16</v>
      </c>
      <c r="AB598" t="n">
        <v>16</v>
      </c>
      <c r="AC598" t="n">
        <v>18</v>
      </c>
      <c r="AD598" t="n">
        <v>1</v>
      </c>
      <c r="AE598" t="n">
        <v>1</v>
      </c>
      <c r="AF598" t="n">
        <v>1</v>
      </c>
      <c r="AG598" t="n">
        <v>1</v>
      </c>
      <c r="AH598" t="n">
        <v>0</v>
      </c>
      <c r="AI598" t="n">
        <v>0</v>
      </c>
      <c r="AJ598" t="n">
        <v>1</v>
      </c>
      <c r="AK598" t="n">
        <v>1</v>
      </c>
      <c r="AL598" t="n">
        <v>1</v>
      </c>
      <c r="AM598" t="n">
        <v>1</v>
      </c>
      <c r="AN598" t="n">
        <v>0</v>
      </c>
      <c r="AO598" t="n">
        <v>0</v>
      </c>
      <c r="AP598" t="n">
        <v>0</v>
      </c>
      <c r="AQ598" t="n">
        <v>0</v>
      </c>
      <c r="AR598" t="inlineStr">
        <is>
          <t>No</t>
        </is>
      </c>
      <c r="AS598" t="inlineStr">
        <is>
          <t>Yes</t>
        </is>
      </c>
      <c r="AT598">
        <f>HYPERLINK("http://catalog.hathitrust.org/Record/101094626","HathiTrust Record")</f>
        <v/>
      </c>
      <c r="AU598">
        <f>HYPERLINK("https://creighton-primo.hosted.exlibrisgroup.com/primo-explore/search?tab=default_tab&amp;search_scope=EVERYTHING&amp;vid=01CRU&amp;lang=en_US&amp;offset=0&amp;query=any,contains,991004336939702656","Catalog Record")</f>
        <v/>
      </c>
      <c r="AV598">
        <f>HYPERLINK("http://www.worldcat.org/oclc/36713350","WorldCat Record")</f>
        <v/>
      </c>
      <c r="AW598" t="inlineStr">
        <is>
          <t>2987652038:spa</t>
        </is>
      </c>
      <c r="AX598" t="inlineStr">
        <is>
          <t>36713350</t>
        </is>
      </c>
      <c r="AY598" t="inlineStr">
        <is>
          <t>991004336939702656</t>
        </is>
      </c>
      <c r="AZ598" t="inlineStr">
        <is>
          <t>991004336939702656</t>
        </is>
      </c>
      <c r="BA598" t="inlineStr">
        <is>
          <t>2262322780002656</t>
        </is>
      </c>
      <c r="BB598" t="inlineStr">
        <is>
          <t>BOOK</t>
        </is>
      </c>
      <c r="BD598" t="inlineStr">
        <is>
          <t>9789802001033</t>
        </is>
      </c>
      <c r="BE598" t="inlineStr">
        <is>
          <t>32285004928635</t>
        </is>
      </c>
      <c r="BF598" t="inlineStr">
        <is>
          <t>893712471</t>
        </is>
      </c>
    </row>
    <row r="599">
      <c r="A599" t="inlineStr">
        <is>
          <t>No</t>
        </is>
      </c>
      <c r="B599" t="inlineStr">
        <is>
          <t>CURAL</t>
        </is>
      </c>
      <c r="C599" t="inlineStr">
        <is>
          <t>SHELVES</t>
        </is>
      </c>
      <c r="D599" t="inlineStr">
        <is>
          <t>PQ6401.Z85 A9 1989</t>
        </is>
      </c>
      <c r="E599" t="inlineStr">
        <is>
          <t>0                      PQ 6401000Z  85                 A  9           1989</t>
        </is>
      </c>
      <c r="F599" t="inlineStr">
        <is>
          <t>Cinco tratados / Juan Manuel ; edición, introducción y notas de Reinaldo Ayerbe-Chaux.</t>
        </is>
      </c>
      <c r="H599" t="inlineStr">
        <is>
          <t>No</t>
        </is>
      </c>
      <c r="I599" t="inlineStr">
        <is>
          <t>1</t>
        </is>
      </c>
      <c r="J599" t="inlineStr">
        <is>
          <t>No</t>
        </is>
      </c>
      <c r="K599" t="inlineStr">
        <is>
          <t>No</t>
        </is>
      </c>
      <c r="L599" t="inlineStr">
        <is>
          <t>0</t>
        </is>
      </c>
      <c r="M599" t="inlineStr">
        <is>
          <t>Juan Manuel, Infante of Castile, 1282-1347.</t>
        </is>
      </c>
      <c r="N599" t="inlineStr">
        <is>
          <t>Madison : Hispanic Seminary of Medieval Studies, 1989.</t>
        </is>
      </c>
      <c r="O599" t="inlineStr">
        <is>
          <t>1989</t>
        </is>
      </c>
      <c r="Q599" t="inlineStr">
        <is>
          <t>spa</t>
        </is>
      </c>
      <c r="R599" t="inlineStr">
        <is>
          <t>wiu</t>
        </is>
      </c>
      <c r="S599" t="inlineStr">
        <is>
          <t>Spanish series ; no. 51</t>
        </is>
      </c>
      <c r="T599" t="inlineStr">
        <is>
          <t xml:space="preserve">PQ </t>
        </is>
      </c>
      <c r="U599" t="n">
        <v>2</v>
      </c>
      <c r="V599" t="n">
        <v>2</v>
      </c>
      <c r="W599" t="inlineStr">
        <is>
          <t>2005-03-02</t>
        </is>
      </c>
      <c r="X599" t="inlineStr">
        <is>
          <t>2005-03-02</t>
        </is>
      </c>
      <c r="Y599" t="inlineStr">
        <is>
          <t>2005-03-02</t>
        </is>
      </c>
      <c r="Z599" t="inlineStr">
        <is>
          <t>2005-03-02</t>
        </is>
      </c>
      <c r="AA599" t="n">
        <v>111</v>
      </c>
      <c r="AB599" t="n">
        <v>93</v>
      </c>
      <c r="AC599" t="n">
        <v>100</v>
      </c>
      <c r="AD599" t="n">
        <v>1</v>
      </c>
      <c r="AE599" t="n">
        <v>1</v>
      </c>
      <c r="AF599" t="n">
        <v>6</v>
      </c>
      <c r="AG599" t="n">
        <v>6</v>
      </c>
      <c r="AH599" t="n">
        <v>0</v>
      </c>
      <c r="AI599" t="n">
        <v>0</v>
      </c>
      <c r="AJ599" t="n">
        <v>3</v>
      </c>
      <c r="AK599" t="n">
        <v>3</v>
      </c>
      <c r="AL599" t="n">
        <v>5</v>
      </c>
      <c r="AM599" t="n">
        <v>5</v>
      </c>
      <c r="AN599" t="n">
        <v>0</v>
      </c>
      <c r="AO599" t="n">
        <v>0</v>
      </c>
      <c r="AP599" t="n">
        <v>0</v>
      </c>
      <c r="AQ599" t="n">
        <v>0</v>
      </c>
      <c r="AR599" t="inlineStr">
        <is>
          <t>No</t>
        </is>
      </c>
      <c r="AS599" t="inlineStr">
        <is>
          <t>Yes</t>
        </is>
      </c>
      <c r="AT599">
        <f>HYPERLINK("http://catalog.hathitrust.org/Record/001841203","HathiTrust Record")</f>
        <v/>
      </c>
      <c r="AU599">
        <f>HYPERLINK("https://creighton-primo.hosted.exlibrisgroup.com/primo-explore/search?tab=default_tab&amp;search_scope=EVERYTHING&amp;vid=01CRU&amp;lang=en_US&amp;offset=0&amp;query=any,contains,991004490099702656","Catalog Record")</f>
        <v/>
      </c>
      <c r="AV599">
        <f>HYPERLINK("http://www.worldcat.org/oclc/20077808","WorldCat Record")</f>
        <v/>
      </c>
      <c r="AW599" t="inlineStr">
        <is>
          <t>292446441:spa</t>
        </is>
      </c>
      <c r="AX599" t="inlineStr">
        <is>
          <t>20077808</t>
        </is>
      </c>
      <c r="AY599" t="inlineStr">
        <is>
          <t>991004490099702656</t>
        </is>
      </c>
      <c r="AZ599" t="inlineStr">
        <is>
          <t>991004490099702656</t>
        </is>
      </c>
      <c r="BA599" t="inlineStr">
        <is>
          <t>2267601940002656</t>
        </is>
      </c>
      <c r="BB599" t="inlineStr">
        <is>
          <t>BOOK</t>
        </is>
      </c>
      <c r="BD599" t="inlineStr">
        <is>
          <t>9780940639362</t>
        </is>
      </c>
      <c r="BE599" t="inlineStr">
        <is>
          <t>32285005028781</t>
        </is>
      </c>
      <c r="BF599" t="inlineStr">
        <is>
          <t>893241502</t>
        </is>
      </c>
    </row>
    <row r="600">
      <c r="A600" t="inlineStr">
        <is>
          <t>No</t>
        </is>
      </c>
      <c r="B600" t="inlineStr">
        <is>
          <t>CURAL</t>
        </is>
      </c>
      <c r="C600" t="inlineStr">
        <is>
          <t>SHELVES</t>
        </is>
      </c>
      <c r="D600" t="inlineStr">
        <is>
          <t>PQ6402 .S8</t>
        </is>
      </c>
      <c r="E600" t="inlineStr">
        <is>
          <t>0                      PQ 6402000S  8</t>
        </is>
      </c>
      <c r="F600" t="inlineStr">
        <is>
          <t>Don Juan Manuel / by H. Tracy Sturcken.</t>
        </is>
      </c>
      <c r="H600" t="inlineStr">
        <is>
          <t>No</t>
        </is>
      </c>
      <c r="I600" t="inlineStr">
        <is>
          <t>1</t>
        </is>
      </c>
      <c r="J600" t="inlineStr">
        <is>
          <t>No</t>
        </is>
      </c>
      <c r="K600" t="inlineStr">
        <is>
          <t>No</t>
        </is>
      </c>
      <c r="L600" t="inlineStr">
        <is>
          <t>0</t>
        </is>
      </c>
      <c r="M600" t="inlineStr">
        <is>
          <t>Sturcken, H. Tracy.</t>
        </is>
      </c>
      <c r="N600" t="inlineStr">
        <is>
          <t>New York : Twayne Publishers, [1974]</t>
        </is>
      </c>
      <c r="O600" t="inlineStr">
        <is>
          <t>1974</t>
        </is>
      </c>
      <c r="Q600" t="inlineStr">
        <is>
          <t>eng</t>
        </is>
      </c>
      <c r="R600" t="inlineStr">
        <is>
          <t>nyu</t>
        </is>
      </c>
      <c r="S600" t="inlineStr">
        <is>
          <t>Twayne's world authors series, TWAS 303. Spain</t>
        </is>
      </c>
      <c r="T600" t="inlineStr">
        <is>
          <t xml:space="preserve">PQ </t>
        </is>
      </c>
      <c r="U600" t="n">
        <v>12</v>
      </c>
      <c r="V600" t="n">
        <v>12</v>
      </c>
      <c r="W600" t="inlineStr">
        <is>
          <t>2004-10-29</t>
        </is>
      </c>
      <c r="X600" t="inlineStr">
        <is>
          <t>2004-10-29</t>
        </is>
      </c>
      <c r="Y600" t="inlineStr">
        <is>
          <t>1991-06-13</t>
        </is>
      </c>
      <c r="Z600" t="inlineStr">
        <is>
          <t>1991-06-13</t>
        </is>
      </c>
      <c r="AA600" t="n">
        <v>631</v>
      </c>
      <c r="AB600" t="n">
        <v>563</v>
      </c>
      <c r="AC600" t="n">
        <v>570</v>
      </c>
      <c r="AD600" t="n">
        <v>5</v>
      </c>
      <c r="AE600" t="n">
        <v>5</v>
      </c>
      <c r="AF600" t="n">
        <v>35</v>
      </c>
      <c r="AG600" t="n">
        <v>35</v>
      </c>
      <c r="AH600" t="n">
        <v>15</v>
      </c>
      <c r="AI600" t="n">
        <v>15</v>
      </c>
      <c r="AJ600" t="n">
        <v>7</v>
      </c>
      <c r="AK600" t="n">
        <v>7</v>
      </c>
      <c r="AL600" t="n">
        <v>19</v>
      </c>
      <c r="AM600" t="n">
        <v>19</v>
      </c>
      <c r="AN600" t="n">
        <v>4</v>
      </c>
      <c r="AO600" t="n">
        <v>4</v>
      </c>
      <c r="AP600" t="n">
        <v>0</v>
      </c>
      <c r="AQ600" t="n">
        <v>0</v>
      </c>
      <c r="AR600" t="inlineStr">
        <is>
          <t>No</t>
        </is>
      </c>
      <c r="AS600" t="inlineStr">
        <is>
          <t>Yes</t>
        </is>
      </c>
      <c r="AT600">
        <f>HYPERLINK("http://catalog.hathitrust.org/Record/001037791","HathiTrust Record")</f>
        <v/>
      </c>
      <c r="AU600">
        <f>HYPERLINK("https://creighton-primo.hosted.exlibrisgroup.com/primo-explore/search?tab=default_tab&amp;search_scope=EVERYTHING&amp;vid=01CRU&amp;lang=en_US&amp;offset=0&amp;query=any,contains,991003165729702656","Catalog Record")</f>
        <v/>
      </c>
      <c r="AV600">
        <f>HYPERLINK("http://www.worldcat.org/oclc/703208","WorldCat Record")</f>
        <v/>
      </c>
      <c r="AW600" t="inlineStr">
        <is>
          <t>1612706:eng</t>
        </is>
      </c>
      <c r="AX600" t="inlineStr">
        <is>
          <t>703208</t>
        </is>
      </c>
      <c r="AY600" t="inlineStr">
        <is>
          <t>991003165729702656</t>
        </is>
      </c>
      <c r="AZ600" t="inlineStr">
        <is>
          <t>991003165729702656</t>
        </is>
      </c>
      <c r="BA600" t="inlineStr">
        <is>
          <t>2257412330002656</t>
        </is>
      </c>
      <c r="BB600" t="inlineStr">
        <is>
          <t>BOOK</t>
        </is>
      </c>
      <c r="BD600" t="inlineStr">
        <is>
          <t>9780805725902</t>
        </is>
      </c>
      <c r="BE600" t="inlineStr">
        <is>
          <t>32285000630045</t>
        </is>
      </c>
      <c r="BF600" t="inlineStr">
        <is>
          <t>893434705</t>
        </is>
      </c>
    </row>
    <row r="601">
      <c r="A601" t="inlineStr">
        <is>
          <t>No</t>
        </is>
      </c>
      <c r="B601" t="inlineStr">
        <is>
          <t>CURAL</t>
        </is>
      </c>
      <c r="C601" t="inlineStr">
        <is>
          <t>SHELVES</t>
        </is>
      </c>
      <c r="D601" t="inlineStr">
        <is>
          <t>PQ6409.Z94 H3</t>
        </is>
      </c>
      <c r="E601" t="inlineStr">
        <is>
          <t>0                      PQ 6409000Z  94                 H  3</t>
        </is>
      </c>
      <c r="F601" t="inlineStr">
        <is>
          <t>Hacia la revalorización de la segunda parte del Lazarillo (1555)</t>
        </is>
      </c>
      <c r="H601" t="inlineStr">
        <is>
          <t>No</t>
        </is>
      </c>
      <c r="I601" t="inlineStr">
        <is>
          <t>1</t>
        </is>
      </c>
      <c r="J601" t="inlineStr">
        <is>
          <t>No</t>
        </is>
      </c>
      <c r="K601" t="inlineStr">
        <is>
          <t>No</t>
        </is>
      </c>
      <c r="L601" t="inlineStr">
        <is>
          <t>0</t>
        </is>
      </c>
      <c r="M601" t="inlineStr">
        <is>
          <t>Zwez, Richard E.</t>
        </is>
      </c>
      <c r="N601" t="inlineStr">
        <is>
          <t>[Valencia] Albatros Ediciones, 1970.</t>
        </is>
      </c>
      <c r="O601" t="inlineStr">
        <is>
          <t>1970</t>
        </is>
      </c>
      <c r="Q601" t="inlineStr">
        <is>
          <t>spa</t>
        </is>
      </c>
      <c r="R601" t="inlineStr">
        <is>
          <t xml:space="preserve">xx </t>
        </is>
      </c>
      <c r="T601" t="inlineStr">
        <is>
          <t xml:space="preserve">PQ </t>
        </is>
      </c>
      <c r="U601" t="n">
        <v>3</v>
      </c>
      <c r="V601" t="n">
        <v>3</v>
      </c>
      <c r="W601" t="inlineStr">
        <is>
          <t>2001-11-27</t>
        </is>
      </c>
      <c r="X601" t="inlineStr">
        <is>
          <t>2001-11-27</t>
        </is>
      </c>
      <c r="Y601" t="inlineStr">
        <is>
          <t>1997-09-03</t>
        </is>
      </c>
      <c r="Z601" t="inlineStr">
        <is>
          <t>1997-09-03</t>
        </is>
      </c>
      <c r="AA601" t="n">
        <v>139</v>
      </c>
      <c r="AB601" t="n">
        <v>98</v>
      </c>
      <c r="AC601" t="n">
        <v>100</v>
      </c>
      <c r="AD601" t="n">
        <v>2</v>
      </c>
      <c r="AE601" t="n">
        <v>2</v>
      </c>
      <c r="AF601" t="n">
        <v>8</v>
      </c>
      <c r="AG601" t="n">
        <v>8</v>
      </c>
      <c r="AH601" t="n">
        <v>1</v>
      </c>
      <c r="AI601" t="n">
        <v>1</v>
      </c>
      <c r="AJ601" t="n">
        <v>2</v>
      </c>
      <c r="AK601" t="n">
        <v>2</v>
      </c>
      <c r="AL601" t="n">
        <v>4</v>
      </c>
      <c r="AM601" t="n">
        <v>4</v>
      </c>
      <c r="AN601" t="n">
        <v>1</v>
      </c>
      <c r="AO601" t="n">
        <v>1</v>
      </c>
      <c r="AP601" t="n">
        <v>0</v>
      </c>
      <c r="AQ601" t="n">
        <v>0</v>
      </c>
      <c r="AR601" t="inlineStr">
        <is>
          <t>No</t>
        </is>
      </c>
      <c r="AS601" t="inlineStr">
        <is>
          <t>Yes</t>
        </is>
      </c>
      <c r="AT601">
        <f>HYPERLINK("http://catalog.hathitrust.org/Record/000005217","HathiTrust Record")</f>
        <v/>
      </c>
      <c r="AU601">
        <f>HYPERLINK("https://creighton-primo.hosted.exlibrisgroup.com/primo-explore/search?tab=default_tab&amp;search_scope=EVERYTHING&amp;vid=01CRU&amp;lang=en_US&amp;offset=0&amp;query=any,contains,991002550129702656","Catalog Record")</f>
        <v/>
      </c>
      <c r="AV601">
        <f>HYPERLINK("http://www.worldcat.org/oclc/369473","WorldCat Record")</f>
        <v/>
      </c>
      <c r="AW601" t="inlineStr">
        <is>
          <t>1439017:spa</t>
        </is>
      </c>
      <c r="AX601" t="inlineStr">
        <is>
          <t>369473</t>
        </is>
      </c>
      <c r="AY601" t="inlineStr">
        <is>
          <t>991002550129702656</t>
        </is>
      </c>
      <c r="AZ601" t="inlineStr">
        <is>
          <t>991002550129702656</t>
        </is>
      </c>
      <c r="BA601" t="inlineStr">
        <is>
          <t>2265332410002656</t>
        </is>
      </c>
      <c r="BB601" t="inlineStr">
        <is>
          <t>BOOK</t>
        </is>
      </c>
      <c r="BE601" t="inlineStr">
        <is>
          <t>32285003154373</t>
        </is>
      </c>
      <c r="BF601" t="inlineStr">
        <is>
          <t>893710419</t>
        </is>
      </c>
    </row>
    <row r="602">
      <c r="A602" t="inlineStr">
        <is>
          <t>No</t>
        </is>
      </c>
      <c r="B602" t="inlineStr">
        <is>
          <t>CURAL</t>
        </is>
      </c>
      <c r="C602" t="inlineStr">
        <is>
          <t>SHELVES</t>
        </is>
      </c>
      <c r="D602" t="inlineStr">
        <is>
          <t>PQ6410.L3 A2 1972</t>
        </is>
      </c>
      <c r="E602" t="inlineStr">
        <is>
          <t>0                      PQ 6410000L  3                  A  2           1972</t>
        </is>
      </c>
      <c r="F602" t="inlineStr">
        <is>
          <t>La perfecta casada : poesias / Fray Luis de León.</t>
        </is>
      </c>
      <c r="H602" t="inlineStr">
        <is>
          <t>No</t>
        </is>
      </c>
      <c r="I602" t="inlineStr">
        <is>
          <t>1</t>
        </is>
      </c>
      <c r="J602" t="inlineStr">
        <is>
          <t>No</t>
        </is>
      </c>
      <c r="K602" t="inlineStr">
        <is>
          <t>No</t>
        </is>
      </c>
      <c r="L602" t="inlineStr">
        <is>
          <t>0</t>
        </is>
      </c>
      <c r="M602" t="inlineStr">
        <is>
          <t>León, Luis de, 1527-1591.</t>
        </is>
      </c>
      <c r="N602" t="inlineStr">
        <is>
          <t>Madrid (Spain) : J. Perez del Hoyo, 1972.</t>
        </is>
      </c>
      <c r="O602" t="inlineStr">
        <is>
          <t>1972</t>
        </is>
      </c>
      <c r="Q602" t="inlineStr">
        <is>
          <t>spa</t>
        </is>
      </c>
      <c r="R602" t="inlineStr">
        <is>
          <t xml:space="preserve">sp </t>
        </is>
      </c>
      <c r="T602" t="inlineStr">
        <is>
          <t xml:space="preserve">PQ </t>
        </is>
      </c>
      <c r="U602" t="n">
        <v>2</v>
      </c>
      <c r="V602" t="n">
        <v>2</v>
      </c>
      <c r="W602" t="inlineStr">
        <is>
          <t>1995-10-29</t>
        </is>
      </c>
      <c r="X602" t="inlineStr">
        <is>
          <t>1995-10-29</t>
        </is>
      </c>
      <c r="Y602" t="inlineStr">
        <is>
          <t>1991-06-13</t>
        </is>
      </c>
      <c r="Z602" t="inlineStr">
        <is>
          <t>1991-06-13</t>
        </is>
      </c>
      <c r="AA602" t="n">
        <v>5</v>
      </c>
      <c r="AB602" t="n">
        <v>4</v>
      </c>
      <c r="AC602" t="n">
        <v>510</v>
      </c>
      <c r="AD602" t="n">
        <v>1</v>
      </c>
      <c r="AE602" t="n">
        <v>2</v>
      </c>
      <c r="AF602" t="n">
        <v>0</v>
      </c>
      <c r="AG602" t="n">
        <v>23</v>
      </c>
      <c r="AH602" t="n">
        <v>0</v>
      </c>
      <c r="AI602" t="n">
        <v>10</v>
      </c>
      <c r="AJ602" t="n">
        <v>0</v>
      </c>
      <c r="AK602" t="n">
        <v>6</v>
      </c>
      <c r="AL602" t="n">
        <v>0</v>
      </c>
      <c r="AM602" t="n">
        <v>14</v>
      </c>
      <c r="AN602" t="n">
        <v>0</v>
      </c>
      <c r="AO602" t="n">
        <v>1</v>
      </c>
      <c r="AP602" t="n">
        <v>0</v>
      </c>
      <c r="AQ602" t="n">
        <v>0</v>
      </c>
      <c r="AR602" t="inlineStr">
        <is>
          <t>No</t>
        </is>
      </c>
      <c r="AS602" t="inlineStr">
        <is>
          <t>No</t>
        </is>
      </c>
      <c r="AU602">
        <f>HYPERLINK("https://creighton-primo.hosted.exlibrisgroup.com/primo-explore/search?tab=default_tab&amp;search_scope=EVERYTHING&amp;vid=01CRU&amp;lang=en_US&amp;offset=0&amp;query=any,contains,991005148519702656","Catalog Record")</f>
        <v/>
      </c>
      <c r="AV602">
        <f>HYPERLINK("http://www.worldcat.org/oclc/7678284","WorldCat Record")</f>
        <v/>
      </c>
      <c r="AW602" t="inlineStr">
        <is>
          <t>348646704:spa</t>
        </is>
      </c>
      <c r="AX602" t="inlineStr">
        <is>
          <t>7678284</t>
        </is>
      </c>
      <c r="AY602" t="inlineStr">
        <is>
          <t>991005148519702656</t>
        </is>
      </c>
      <c r="AZ602" t="inlineStr">
        <is>
          <t>991005148519702656</t>
        </is>
      </c>
      <c r="BA602" t="inlineStr">
        <is>
          <t>2255945040002656</t>
        </is>
      </c>
      <c r="BB602" t="inlineStr">
        <is>
          <t>BOOK</t>
        </is>
      </c>
      <c r="BE602" t="inlineStr">
        <is>
          <t>32285000630060</t>
        </is>
      </c>
      <c r="BF602" t="inlineStr">
        <is>
          <t>893526990</t>
        </is>
      </c>
    </row>
    <row r="603">
      <c r="A603" t="inlineStr">
        <is>
          <t>No</t>
        </is>
      </c>
      <c r="B603" t="inlineStr">
        <is>
          <t>CURAL</t>
        </is>
      </c>
      <c r="C603" t="inlineStr">
        <is>
          <t>SHELVES</t>
        </is>
      </c>
      <c r="D603" t="inlineStr">
        <is>
          <t>PQ6410.L3 H54 1992</t>
        </is>
      </c>
      <c r="E603" t="inlineStr">
        <is>
          <t>0                      PQ 6410000L  3                  H  54          1992</t>
        </is>
      </c>
      <c r="F603" t="inlineStr">
        <is>
          <t>Poetry and truth in the Spanish works of fray Luis de León / David J. Hildner.</t>
        </is>
      </c>
      <c r="H603" t="inlineStr">
        <is>
          <t>No</t>
        </is>
      </c>
      <c r="I603" t="inlineStr">
        <is>
          <t>1</t>
        </is>
      </c>
      <c r="J603" t="inlineStr">
        <is>
          <t>No</t>
        </is>
      </c>
      <c r="K603" t="inlineStr">
        <is>
          <t>No</t>
        </is>
      </c>
      <c r="L603" t="inlineStr">
        <is>
          <t>0</t>
        </is>
      </c>
      <c r="M603" t="inlineStr">
        <is>
          <t>Hildner, David Jonathan.</t>
        </is>
      </c>
      <c r="N603" t="inlineStr">
        <is>
          <t>London : Tamesis Books ; Rochester, NY : Boydell &amp; Brewer [distributor], 1992.</t>
        </is>
      </c>
      <c r="O603" t="inlineStr">
        <is>
          <t>1992</t>
        </is>
      </c>
      <c r="Q603" t="inlineStr">
        <is>
          <t>eng</t>
        </is>
      </c>
      <c r="R603" t="inlineStr">
        <is>
          <t>enk</t>
        </is>
      </c>
      <c r="S603" t="inlineStr">
        <is>
          <t>Colección Támesis. Serie A, Monografías ; 151</t>
        </is>
      </c>
      <c r="T603" t="inlineStr">
        <is>
          <t xml:space="preserve">PQ </t>
        </is>
      </c>
      <c r="U603" t="n">
        <v>3</v>
      </c>
      <c r="V603" t="n">
        <v>3</v>
      </c>
      <c r="W603" t="inlineStr">
        <is>
          <t>2005-03-02</t>
        </is>
      </c>
      <c r="X603" t="inlineStr">
        <is>
          <t>2005-03-02</t>
        </is>
      </c>
      <c r="Y603" t="inlineStr">
        <is>
          <t>2005-03-02</t>
        </is>
      </c>
      <c r="Z603" t="inlineStr">
        <is>
          <t>2005-03-02</t>
        </is>
      </c>
      <c r="AA603" t="n">
        <v>198</v>
      </c>
      <c r="AB603" t="n">
        <v>142</v>
      </c>
      <c r="AC603" t="n">
        <v>142</v>
      </c>
      <c r="AD603" t="n">
        <v>2</v>
      </c>
      <c r="AE603" t="n">
        <v>2</v>
      </c>
      <c r="AF603" t="n">
        <v>9</v>
      </c>
      <c r="AG603" t="n">
        <v>9</v>
      </c>
      <c r="AH603" t="n">
        <v>1</v>
      </c>
      <c r="AI603" t="n">
        <v>1</v>
      </c>
      <c r="AJ603" t="n">
        <v>3</v>
      </c>
      <c r="AK603" t="n">
        <v>3</v>
      </c>
      <c r="AL603" t="n">
        <v>6</v>
      </c>
      <c r="AM603" t="n">
        <v>6</v>
      </c>
      <c r="AN603" t="n">
        <v>1</v>
      </c>
      <c r="AO603" t="n">
        <v>1</v>
      </c>
      <c r="AP603" t="n">
        <v>0</v>
      </c>
      <c r="AQ603" t="n">
        <v>0</v>
      </c>
      <c r="AR603" t="inlineStr">
        <is>
          <t>No</t>
        </is>
      </c>
      <c r="AS603" t="inlineStr">
        <is>
          <t>No</t>
        </is>
      </c>
      <c r="AU603">
        <f>HYPERLINK("https://creighton-primo.hosted.exlibrisgroup.com/primo-explore/search?tab=default_tab&amp;search_scope=EVERYTHING&amp;vid=01CRU&amp;lang=en_US&amp;offset=0&amp;query=any,contains,991004490869702656","Catalog Record")</f>
        <v/>
      </c>
      <c r="AV603">
        <f>HYPERLINK("http://www.worldcat.org/oclc/27639504","WorldCat Record")</f>
        <v/>
      </c>
      <c r="AW603" t="inlineStr">
        <is>
          <t>30045290:eng</t>
        </is>
      </c>
      <c r="AX603" t="inlineStr">
        <is>
          <t>27639504</t>
        </is>
      </c>
      <c r="AY603" t="inlineStr">
        <is>
          <t>991004490869702656</t>
        </is>
      </c>
      <c r="AZ603" t="inlineStr">
        <is>
          <t>991004490869702656</t>
        </is>
      </c>
      <c r="BA603" t="inlineStr">
        <is>
          <t>2268787490002656</t>
        </is>
      </c>
      <c r="BB603" t="inlineStr">
        <is>
          <t>BOOK</t>
        </is>
      </c>
      <c r="BD603" t="inlineStr">
        <is>
          <t>9781855660175</t>
        </is>
      </c>
      <c r="BE603" t="inlineStr">
        <is>
          <t>32285005029060</t>
        </is>
      </c>
      <c r="BF603" t="inlineStr">
        <is>
          <t>893331667</t>
        </is>
      </c>
    </row>
    <row r="604">
      <c r="A604" t="inlineStr">
        <is>
          <t>No</t>
        </is>
      </c>
      <c r="B604" t="inlineStr">
        <is>
          <t>CURAL</t>
        </is>
      </c>
      <c r="C604" t="inlineStr">
        <is>
          <t>SHELVES</t>
        </is>
      </c>
      <c r="D604" t="inlineStr">
        <is>
          <t>PQ6412 .M5 1929</t>
        </is>
      </c>
      <c r="E604" t="inlineStr">
        <is>
          <t>0                      PQ 6412000M  5           1929</t>
        </is>
      </c>
      <c r="F604" t="inlineStr">
        <is>
          <t>Cancionero; prólogo, edición y vocabulario por Augusto Cortina ...</t>
        </is>
      </c>
      <c r="H604" t="inlineStr">
        <is>
          <t>No</t>
        </is>
      </c>
      <c r="I604" t="inlineStr">
        <is>
          <t>1</t>
        </is>
      </c>
      <c r="J604" t="inlineStr">
        <is>
          <t>No</t>
        </is>
      </c>
      <c r="K604" t="inlineStr">
        <is>
          <t>No</t>
        </is>
      </c>
      <c r="L604" t="inlineStr">
        <is>
          <t>0</t>
        </is>
      </c>
      <c r="M604" t="inlineStr">
        <is>
          <t>Manrique, Jorge, 1440?-1479.</t>
        </is>
      </c>
      <c r="N604" t="inlineStr">
        <is>
          <t>Madrid, Ediciones de "La Lectura," 1929.</t>
        </is>
      </c>
      <c r="O604" t="inlineStr">
        <is>
          <t>1929</t>
        </is>
      </c>
      <c r="Q604" t="inlineStr">
        <is>
          <t>spa</t>
        </is>
      </c>
      <c r="R604" t="inlineStr">
        <is>
          <t xml:space="preserve">sp </t>
        </is>
      </c>
      <c r="S604" t="inlineStr">
        <is>
          <t>Clásicos castellanos ; 94</t>
        </is>
      </c>
      <c r="T604" t="inlineStr">
        <is>
          <t xml:space="preserve">PQ </t>
        </is>
      </c>
      <c r="U604" t="n">
        <v>3</v>
      </c>
      <c r="V604" t="n">
        <v>3</v>
      </c>
      <c r="W604" t="inlineStr">
        <is>
          <t>2000-04-26</t>
        </is>
      </c>
      <c r="X604" t="inlineStr">
        <is>
          <t>2000-04-26</t>
        </is>
      </c>
      <c r="Y604" t="inlineStr">
        <is>
          <t>1997-07-08</t>
        </is>
      </c>
      <c r="Z604" t="inlineStr">
        <is>
          <t>1997-07-08</t>
        </is>
      </c>
      <c r="AA604" t="n">
        <v>165</v>
      </c>
      <c r="AB604" t="n">
        <v>136</v>
      </c>
      <c r="AC604" t="n">
        <v>234</v>
      </c>
      <c r="AD604" t="n">
        <v>1</v>
      </c>
      <c r="AE604" t="n">
        <v>1</v>
      </c>
      <c r="AF604" t="n">
        <v>6</v>
      </c>
      <c r="AG604" t="n">
        <v>17</v>
      </c>
      <c r="AH604" t="n">
        <v>2</v>
      </c>
      <c r="AI604" t="n">
        <v>5</v>
      </c>
      <c r="AJ604" t="n">
        <v>2</v>
      </c>
      <c r="AK604" t="n">
        <v>5</v>
      </c>
      <c r="AL604" t="n">
        <v>5</v>
      </c>
      <c r="AM604" t="n">
        <v>12</v>
      </c>
      <c r="AN604" t="n">
        <v>0</v>
      </c>
      <c r="AO604" t="n">
        <v>0</v>
      </c>
      <c r="AP604" t="n">
        <v>0</v>
      </c>
      <c r="AQ604" t="n">
        <v>0</v>
      </c>
      <c r="AR604" t="inlineStr">
        <is>
          <t>No</t>
        </is>
      </c>
      <c r="AS604" t="inlineStr">
        <is>
          <t>Yes</t>
        </is>
      </c>
      <c r="AT604">
        <f>HYPERLINK("http://catalog.hathitrust.org/Record/001111599","HathiTrust Record")</f>
        <v/>
      </c>
      <c r="AU604">
        <f>HYPERLINK("https://creighton-primo.hosted.exlibrisgroup.com/primo-explore/search?tab=default_tab&amp;search_scope=EVERYTHING&amp;vid=01CRU&amp;lang=en_US&amp;offset=0&amp;query=any,contains,991004160929702656","Catalog Record")</f>
        <v/>
      </c>
      <c r="AV604">
        <f>HYPERLINK("http://www.worldcat.org/oclc/2551419","WorldCat Record")</f>
        <v/>
      </c>
      <c r="AW604" t="inlineStr">
        <is>
          <t>4923005084:spa</t>
        </is>
      </c>
      <c r="AX604" t="inlineStr">
        <is>
          <t>2551419</t>
        </is>
      </c>
      <c r="AY604" t="inlineStr">
        <is>
          <t>991004160929702656</t>
        </is>
      </c>
      <c r="AZ604" t="inlineStr">
        <is>
          <t>991004160929702656</t>
        </is>
      </c>
      <c r="BA604" t="inlineStr">
        <is>
          <t>2255655100002656</t>
        </is>
      </c>
      <c r="BB604" t="inlineStr">
        <is>
          <t>BOOK</t>
        </is>
      </c>
      <c r="BE604" t="inlineStr">
        <is>
          <t>32285002519469</t>
        </is>
      </c>
      <c r="BF604" t="inlineStr">
        <is>
          <t>893775704</t>
        </is>
      </c>
    </row>
    <row r="605">
      <c r="A605" t="inlineStr">
        <is>
          <t>No</t>
        </is>
      </c>
      <c r="B605" t="inlineStr">
        <is>
          <t>CURAL</t>
        </is>
      </c>
      <c r="C605" t="inlineStr">
        <is>
          <t>SHELVES</t>
        </is>
      </c>
      <c r="D605" t="inlineStr">
        <is>
          <t>PQ6412 .M5 1969</t>
        </is>
      </c>
      <c r="E605" t="inlineStr">
        <is>
          <t>0                      PQ 6412000M  5           1969</t>
        </is>
      </c>
      <c r="F605" t="inlineStr">
        <is>
          <t>Obras completas / Jorge Manrique; prólogo de José García López.</t>
        </is>
      </c>
      <c r="H605" t="inlineStr">
        <is>
          <t>No</t>
        </is>
      </c>
      <c r="I605" t="inlineStr">
        <is>
          <t>1</t>
        </is>
      </c>
      <c r="J605" t="inlineStr">
        <is>
          <t>No</t>
        </is>
      </c>
      <c r="K605" t="inlineStr">
        <is>
          <t>No</t>
        </is>
      </c>
      <c r="L605" t="inlineStr">
        <is>
          <t>0</t>
        </is>
      </c>
      <c r="M605" t="inlineStr">
        <is>
          <t>Manrique, Jorge, 1440?-1479.</t>
        </is>
      </c>
      <c r="N605" t="inlineStr">
        <is>
          <t>Barcelona : Montaner y Simon, 1969.</t>
        </is>
      </c>
      <c r="O605" t="inlineStr">
        <is>
          <t>1969</t>
        </is>
      </c>
      <c r="Q605" t="inlineStr">
        <is>
          <t>spa</t>
        </is>
      </c>
      <c r="R605" t="inlineStr">
        <is>
          <t xml:space="preserve">sp </t>
        </is>
      </c>
      <c r="T605" t="inlineStr">
        <is>
          <t xml:space="preserve">PQ </t>
        </is>
      </c>
      <c r="U605" t="n">
        <v>3</v>
      </c>
      <c r="V605" t="n">
        <v>3</v>
      </c>
      <c r="W605" t="inlineStr">
        <is>
          <t>2000-04-26</t>
        </is>
      </c>
      <c r="X605" t="inlineStr">
        <is>
          <t>2000-04-26</t>
        </is>
      </c>
      <c r="Y605" t="inlineStr">
        <is>
          <t>1997-07-08</t>
        </is>
      </c>
      <c r="Z605" t="inlineStr">
        <is>
          <t>1997-07-08</t>
        </is>
      </c>
      <c r="AA605" t="n">
        <v>26</v>
      </c>
      <c r="AB605" t="n">
        <v>25</v>
      </c>
      <c r="AC605" t="n">
        <v>74</v>
      </c>
      <c r="AD605" t="n">
        <v>1</v>
      </c>
      <c r="AE605" t="n">
        <v>1</v>
      </c>
      <c r="AF605" t="n">
        <v>2</v>
      </c>
      <c r="AG605" t="n">
        <v>3</v>
      </c>
      <c r="AH605" t="n">
        <v>1</v>
      </c>
      <c r="AI605" t="n">
        <v>1</v>
      </c>
      <c r="AJ605" t="n">
        <v>1</v>
      </c>
      <c r="AK605" t="n">
        <v>1</v>
      </c>
      <c r="AL605" t="n">
        <v>1</v>
      </c>
      <c r="AM605" t="n">
        <v>2</v>
      </c>
      <c r="AN605" t="n">
        <v>0</v>
      </c>
      <c r="AO605" t="n">
        <v>0</v>
      </c>
      <c r="AP605" t="n">
        <v>0</v>
      </c>
      <c r="AQ605" t="n">
        <v>0</v>
      </c>
      <c r="AR605" t="inlineStr">
        <is>
          <t>No</t>
        </is>
      </c>
      <c r="AS605" t="inlineStr">
        <is>
          <t>No</t>
        </is>
      </c>
      <c r="AU605">
        <f>HYPERLINK("https://creighton-primo.hosted.exlibrisgroup.com/primo-explore/search?tab=default_tab&amp;search_scope=EVERYTHING&amp;vid=01CRU&amp;lang=en_US&amp;offset=0&amp;query=any,contains,991004145879702656","Catalog Record")</f>
        <v/>
      </c>
      <c r="AV605">
        <f>HYPERLINK("http://www.worldcat.org/oclc/2509942","WorldCat Record")</f>
        <v/>
      </c>
      <c r="AW605" t="inlineStr">
        <is>
          <t>4061459971:spa</t>
        </is>
      </c>
      <c r="AX605" t="inlineStr">
        <is>
          <t>2509942</t>
        </is>
      </c>
      <c r="AY605" t="inlineStr">
        <is>
          <t>991004145879702656</t>
        </is>
      </c>
      <c r="AZ605" t="inlineStr">
        <is>
          <t>991004145879702656</t>
        </is>
      </c>
      <c r="BA605" t="inlineStr">
        <is>
          <t>2262405010002656</t>
        </is>
      </c>
      <c r="BB605" t="inlineStr">
        <is>
          <t>BOOK</t>
        </is>
      </c>
      <c r="BE605" t="inlineStr">
        <is>
          <t>32285002519477</t>
        </is>
      </c>
      <c r="BF605" t="inlineStr">
        <is>
          <t>893806721</t>
        </is>
      </c>
    </row>
    <row r="606">
      <c r="A606" t="inlineStr">
        <is>
          <t>No</t>
        </is>
      </c>
      <c r="B606" t="inlineStr">
        <is>
          <t>CURAL</t>
        </is>
      </c>
      <c r="C606" t="inlineStr">
        <is>
          <t>SHELVES</t>
        </is>
      </c>
      <c r="D606" t="inlineStr">
        <is>
          <t>PQ6412.L2 R53 2000</t>
        </is>
      </c>
      <c r="E606" t="inlineStr">
        <is>
          <t>0                      PQ 6412000L  2                  R  53          2000</t>
        </is>
      </c>
      <c r="F606" t="inlineStr">
        <is>
          <t>Rimado de Palacio / Pero Lopez de Ayala ; edición, introducción y notas de H. Salvador Martínez .</t>
        </is>
      </c>
      <c r="H606" t="inlineStr">
        <is>
          <t>No</t>
        </is>
      </c>
      <c r="I606" t="inlineStr">
        <is>
          <t>1</t>
        </is>
      </c>
      <c r="J606" t="inlineStr">
        <is>
          <t>No</t>
        </is>
      </c>
      <c r="K606" t="inlineStr">
        <is>
          <t>Yes</t>
        </is>
      </c>
      <c r="L606" t="inlineStr">
        <is>
          <t>0</t>
        </is>
      </c>
      <c r="M606" t="inlineStr">
        <is>
          <t>López de Ayala, Pedro, 1332-1407.</t>
        </is>
      </c>
      <c r="N606" t="inlineStr">
        <is>
          <t>New York : P. Lang, c2000.</t>
        </is>
      </c>
      <c r="O606" t="inlineStr">
        <is>
          <t>2000</t>
        </is>
      </c>
      <c r="Q606" t="inlineStr">
        <is>
          <t>spa</t>
        </is>
      </c>
      <c r="R606" t="inlineStr">
        <is>
          <t>nyu</t>
        </is>
      </c>
      <c r="S606" t="inlineStr">
        <is>
          <t>Ibérica, 1056-5000 ; vol. 35</t>
        </is>
      </c>
      <c r="T606" t="inlineStr">
        <is>
          <t xml:space="preserve">PQ </t>
        </is>
      </c>
      <c r="U606" t="n">
        <v>2</v>
      </c>
      <c r="V606" t="n">
        <v>2</v>
      </c>
      <c r="W606" t="inlineStr">
        <is>
          <t>2001-03-13</t>
        </is>
      </c>
      <c r="X606" t="inlineStr">
        <is>
          <t>2001-03-13</t>
        </is>
      </c>
      <c r="Y606" t="inlineStr">
        <is>
          <t>2001-03-13</t>
        </is>
      </c>
      <c r="Z606" t="inlineStr">
        <is>
          <t>2001-03-13</t>
        </is>
      </c>
      <c r="AA606" t="n">
        <v>87</v>
      </c>
      <c r="AB606" t="n">
        <v>66</v>
      </c>
      <c r="AC606" t="n">
        <v>347</v>
      </c>
      <c r="AD606" t="n">
        <v>1</v>
      </c>
      <c r="AE606" t="n">
        <v>2</v>
      </c>
      <c r="AF606" t="n">
        <v>3</v>
      </c>
      <c r="AG606" t="n">
        <v>13</v>
      </c>
      <c r="AH606" t="n">
        <v>1</v>
      </c>
      <c r="AI606" t="n">
        <v>5</v>
      </c>
      <c r="AJ606" t="n">
        <v>2</v>
      </c>
      <c r="AK606" t="n">
        <v>6</v>
      </c>
      <c r="AL606" t="n">
        <v>2</v>
      </c>
      <c r="AM606" t="n">
        <v>5</v>
      </c>
      <c r="AN606" t="n">
        <v>0</v>
      </c>
      <c r="AO606" t="n">
        <v>1</v>
      </c>
      <c r="AP606" t="n">
        <v>0</v>
      </c>
      <c r="AQ606" t="n">
        <v>0</v>
      </c>
      <c r="AR606" t="inlineStr">
        <is>
          <t>No</t>
        </is>
      </c>
      <c r="AS606" t="inlineStr">
        <is>
          <t>Yes</t>
        </is>
      </c>
      <c r="AT606">
        <f>HYPERLINK("http://catalog.hathitrust.org/Record/008323798","HathiTrust Record")</f>
        <v/>
      </c>
      <c r="AU606">
        <f>HYPERLINK("https://creighton-primo.hosted.exlibrisgroup.com/primo-explore/search?tab=default_tab&amp;search_scope=EVERYTHING&amp;vid=01CRU&amp;lang=en_US&amp;offset=0&amp;query=any,contains,991003478839702656","Catalog Record")</f>
        <v/>
      </c>
      <c r="AV606">
        <f>HYPERLINK("http://www.worldcat.org/oclc/42823682","WorldCat Record")</f>
        <v/>
      </c>
      <c r="AW606" t="inlineStr">
        <is>
          <t>4915148538:spa</t>
        </is>
      </c>
      <c r="AX606" t="inlineStr">
        <is>
          <t>42823682</t>
        </is>
      </c>
      <c r="AY606" t="inlineStr">
        <is>
          <t>991003478839702656</t>
        </is>
      </c>
      <c r="AZ606" t="inlineStr">
        <is>
          <t>991003478839702656</t>
        </is>
      </c>
      <c r="BA606" t="inlineStr">
        <is>
          <t>2255127570002656</t>
        </is>
      </c>
      <c r="BB606" t="inlineStr">
        <is>
          <t>BOOK</t>
        </is>
      </c>
      <c r="BD606" t="inlineStr">
        <is>
          <t>9780820449166</t>
        </is>
      </c>
      <c r="BE606" t="inlineStr">
        <is>
          <t>32285004305099</t>
        </is>
      </c>
      <c r="BF606" t="inlineStr">
        <is>
          <t>893505617</t>
        </is>
      </c>
    </row>
    <row r="607">
      <c r="A607" t="inlineStr">
        <is>
          <t>No</t>
        </is>
      </c>
      <c r="B607" t="inlineStr">
        <is>
          <t>CURAL</t>
        </is>
      </c>
      <c r="C607" t="inlineStr">
        <is>
          <t>SHELVES</t>
        </is>
      </c>
      <c r="D607" t="inlineStr">
        <is>
          <t>PQ6412.L2 R5333 1985</t>
        </is>
      </c>
      <c r="E607" t="inlineStr">
        <is>
          <t>0                      PQ 6412000L  2                  R  5333        1985</t>
        </is>
      </c>
      <c r="F607" t="inlineStr">
        <is>
          <t>El Rimado de palacio : tradición manuscrita y texto original / José Luis Coy.</t>
        </is>
      </c>
      <c r="H607" t="inlineStr">
        <is>
          <t>No</t>
        </is>
      </c>
      <c r="I607" t="inlineStr">
        <is>
          <t>1</t>
        </is>
      </c>
      <c r="J607" t="inlineStr">
        <is>
          <t>No</t>
        </is>
      </c>
      <c r="K607" t="inlineStr">
        <is>
          <t>No</t>
        </is>
      </c>
      <c r="L607" t="inlineStr">
        <is>
          <t>0</t>
        </is>
      </c>
      <c r="M607" t="inlineStr">
        <is>
          <t>Coy, José Luis.</t>
        </is>
      </c>
      <c r="N607" t="inlineStr">
        <is>
          <t>Madrid : Paraninfo, 1985.</t>
        </is>
      </c>
      <c r="O607" t="inlineStr">
        <is>
          <t>1985</t>
        </is>
      </c>
      <c r="Q607" t="inlineStr">
        <is>
          <t>spa</t>
        </is>
      </c>
      <c r="R607" t="inlineStr">
        <is>
          <t xml:space="preserve">sp </t>
        </is>
      </c>
      <c r="S607" t="inlineStr">
        <is>
          <t>Colección filológica</t>
        </is>
      </c>
      <c r="T607" t="inlineStr">
        <is>
          <t xml:space="preserve">PQ </t>
        </is>
      </c>
      <c r="U607" t="n">
        <v>2</v>
      </c>
      <c r="V607" t="n">
        <v>2</v>
      </c>
      <c r="W607" t="inlineStr">
        <is>
          <t>1994-11-06</t>
        </is>
      </c>
      <c r="X607" t="inlineStr">
        <is>
          <t>1994-11-06</t>
        </is>
      </c>
      <c r="Y607" t="inlineStr">
        <is>
          <t>1991-06-13</t>
        </is>
      </c>
      <c r="Z607" t="inlineStr">
        <is>
          <t>1991-06-13</t>
        </is>
      </c>
      <c r="AA607" t="n">
        <v>74</v>
      </c>
      <c r="AB607" t="n">
        <v>51</v>
      </c>
      <c r="AC607" t="n">
        <v>58</v>
      </c>
      <c r="AD607" t="n">
        <v>2</v>
      </c>
      <c r="AE607" t="n">
        <v>2</v>
      </c>
      <c r="AF607" t="n">
        <v>5</v>
      </c>
      <c r="AG607" t="n">
        <v>5</v>
      </c>
      <c r="AH607" t="n">
        <v>0</v>
      </c>
      <c r="AI607" t="n">
        <v>0</v>
      </c>
      <c r="AJ607" t="n">
        <v>3</v>
      </c>
      <c r="AK607" t="n">
        <v>3</v>
      </c>
      <c r="AL607" t="n">
        <v>2</v>
      </c>
      <c r="AM607" t="n">
        <v>2</v>
      </c>
      <c r="AN607" t="n">
        <v>1</v>
      </c>
      <c r="AO607" t="n">
        <v>1</v>
      </c>
      <c r="AP607" t="n">
        <v>0</v>
      </c>
      <c r="AQ607" t="n">
        <v>0</v>
      </c>
      <c r="AR607" t="inlineStr">
        <is>
          <t>No</t>
        </is>
      </c>
      <c r="AS607" t="inlineStr">
        <is>
          <t>Yes</t>
        </is>
      </c>
      <c r="AT607">
        <f>HYPERLINK("http://catalog.hathitrust.org/Record/000470377","HathiTrust Record")</f>
        <v/>
      </c>
      <c r="AU607">
        <f>HYPERLINK("https://creighton-primo.hosted.exlibrisgroup.com/primo-explore/search?tab=default_tab&amp;search_scope=EVERYTHING&amp;vid=01CRU&amp;lang=en_US&amp;offset=0&amp;query=any,contains,991000896509702656","Catalog Record")</f>
        <v/>
      </c>
      <c r="AV607">
        <f>HYPERLINK("http://www.worldcat.org/oclc/13991436","WorldCat Record")</f>
        <v/>
      </c>
      <c r="AW607" t="inlineStr">
        <is>
          <t>348649407:spa</t>
        </is>
      </c>
      <c r="AX607" t="inlineStr">
        <is>
          <t>13991436</t>
        </is>
      </c>
      <c r="AY607" t="inlineStr">
        <is>
          <t>991000896509702656</t>
        </is>
      </c>
      <c r="AZ607" t="inlineStr">
        <is>
          <t>991000896509702656</t>
        </is>
      </c>
      <c r="BA607" t="inlineStr">
        <is>
          <t>2260517460002656</t>
        </is>
      </c>
      <c r="BB607" t="inlineStr">
        <is>
          <t>BOOK</t>
        </is>
      </c>
      <c r="BD607" t="inlineStr">
        <is>
          <t>9788428313407</t>
        </is>
      </c>
      <c r="BE607" t="inlineStr">
        <is>
          <t>32285000630078</t>
        </is>
      </c>
      <c r="BF607" t="inlineStr">
        <is>
          <t>893333872</t>
        </is>
      </c>
    </row>
    <row r="608">
      <c r="A608" t="inlineStr">
        <is>
          <t>No</t>
        </is>
      </c>
      <c r="B608" t="inlineStr">
        <is>
          <t>CURAL</t>
        </is>
      </c>
      <c r="C608" t="inlineStr">
        <is>
          <t>SHELVES</t>
        </is>
      </c>
      <c r="D608" t="inlineStr">
        <is>
          <t>PQ6412.M5 P6</t>
        </is>
      </c>
      <c r="E608" t="inlineStr">
        <is>
          <t>0                      PQ 6412000M  5                  P  6</t>
        </is>
      </c>
      <c r="F608" t="inlineStr">
        <is>
          <t>Poesías.</t>
        </is>
      </c>
      <c r="H608" t="inlineStr">
        <is>
          <t>No</t>
        </is>
      </c>
      <c r="I608" t="inlineStr">
        <is>
          <t>1</t>
        </is>
      </c>
      <c r="J608" t="inlineStr">
        <is>
          <t>No</t>
        </is>
      </c>
      <c r="K608" t="inlineStr">
        <is>
          <t>No</t>
        </is>
      </c>
      <c r="L608" t="inlineStr">
        <is>
          <t>0</t>
        </is>
      </c>
      <c r="M608" t="inlineStr">
        <is>
          <t>Manrique, Jorge.</t>
        </is>
      </c>
      <c r="N608" t="inlineStr">
        <is>
          <t>Barcelona : Libreria Espanola, [n.d.]</t>
        </is>
      </c>
      <c r="Q608" t="inlineStr">
        <is>
          <t>spa</t>
        </is>
      </c>
      <c r="R608" t="inlineStr">
        <is>
          <t xml:space="preserve">sp </t>
        </is>
      </c>
      <c r="S608" t="inlineStr">
        <is>
          <t>Colección diamante</t>
        </is>
      </c>
      <c r="T608" t="inlineStr">
        <is>
          <t xml:space="preserve">PQ </t>
        </is>
      </c>
      <c r="U608" t="n">
        <v>3</v>
      </c>
      <c r="V608" t="n">
        <v>3</v>
      </c>
      <c r="W608" t="inlineStr">
        <is>
          <t>2000-04-26</t>
        </is>
      </c>
      <c r="X608" t="inlineStr">
        <is>
          <t>2000-04-26</t>
        </is>
      </c>
      <c r="Y608" t="inlineStr">
        <is>
          <t>1998-01-30</t>
        </is>
      </c>
      <c r="Z608" t="inlineStr">
        <is>
          <t>1998-01-30</t>
        </is>
      </c>
      <c r="AA608" t="n">
        <v>6</v>
      </c>
      <c r="AB608" t="n">
        <v>5</v>
      </c>
      <c r="AC608" t="n">
        <v>36</v>
      </c>
      <c r="AD608" t="n">
        <v>1</v>
      </c>
      <c r="AE608" t="n">
        <v>1</v>
      </c>
      <c r="AF608" t="n">
        <v>0</v>
      </c>
      <c r="AG608" t="n">
        <v>0</v>
      </c>
      <c r="AH608" t="n">
        <v>0</v>
      </c>
      <c r="AI608" t="n">
        <v>0</v>
      </c>
      <c r="AJ608" t="n">
        <v>0</v>
      </c>
      <c r="AK608" t="n">
        <v>0</v>
      </c>
      <c r="AL608" t="n">
        <v>0</v>
      </c>
      <c r="AM608" t="n">
        <v>0</v>
      </c>
      <c r="AN608" t="n">
        <v>0</v>
      </c>
      <c r="AO608" t="n">
        <v>0</v>
      </c>
      <c r="AP608" t="n">
        <v>0</v>
      </c>
      <c r="AQ608" t="n">
        <v>0</v>
      </c>
      <c r="AR608" t="inlineStr">
        <is>
          <t>No</t>
        </is>
      </c>
      <c r="AS608" t="inlineStr">
        <is>
          <t>No</t>
        </is>
      </c>
      <c r="AU608">
        <f>HYPERLINK("https://creighton-primo.hosted.exlibrisgroup.com/primo-explore/search?tab=default_tab&amp;search_scope=EVERYTHING&amp;vid=01CRU&amp;lang=en_US&amp;offset=0&amp;query=any,contains,991001176009702656","Catalog Record")</f>
        <v/>
      </c>
      <c r="AV608">
        <f>HYPERLINK("http://www.worldcat.org/oclc/17010657","WorldCat Record")</f>
        <v/>
      </c>
      <c r="AW608" t="inlineStr">
        <is>
          <t>3980100369:spa</t>
        </is>
      </c>
      <c r="AX608" t="inlineStr">
        <is>
          <t>17010657</t>
        </is>
      </c>
      <c r="AY608" t="inlineStr">
        <is>
          <t>991001176009702656</t>
        </is>
      </c>
      <c r="AZ608" t="inlineStr">
        <is>
          <t>991001176009702656</t>
        </is>
      </c>
      <c r="BA608" t="inlineStr">
        <is>
          <t>2260829730002656</t>
        </is>
      </c>
      <c r="BB608" t="inlineStr">
        <is>
          <t>BOOK</t>
        </is>
      </c>
      <c r="BE608" t="inlineStr">
        <is>
          <t>32285003337051</t>
        </is>
      </c>
      <c r="BF608" t="inlineStr">
        <is>
          <t>893346311</t>
        </is>
      </c>
    </row>
    <row r="609">
      <c r="A609" t="inlineStr">
        <is>
          <t>No</t>
        </is>
      </c>
      <c r="B609" t="inlineStr">
        <is>
          <t>CURAL</t>
        </is>
      </c>
      <c r="C609" t="inlineStr">
        <is>
          <t>SHELVES</t>
        </is>
      </c>
      <c r="D609" t="inlineStr">
        <is>
          <t>PQ6412.M6 S34 1981</t>
        </is>
      </c>
      <c r="E609" t="inlineStr">
        <is>
          <t>0                      PQ 6412000M  6                  S  34          1981</t>
        </is>
      </c>
      <c r="F609" t="inlineStr">
        <is>
          <t>Jorge Manrique : o tradición y originalidad / Pedro Salinas.</t>
        </is>
      </c>
      <c r="H609" t="inlineStr">
        <is>
          <t>No</t>
        </is>
      </c>
      <c r="I609" t="inlineStr">
        <is>
          <t>1</t>
        </is>
      </c>
      <c r="J609" t="inlineStr">
        <is>
          <t>No</t>
        </is>
      </c>
      <c r="K609" t="inlineStr">
        <is>
          <t>No</t>
        </is>
      </c>
      <c r="L609" t="inlineStr">
        <is>
          <t>0</t>
        </is>
      </c>
      <c r="M609" t="inlineStr">
        <is>
          <t>Salinas, Pedro, 1892-1951.</t>
        </is>
      </c>
      <c r="N609" t="inlineStr">
        <is>
          <t>Barcelona : Seix Barral, 1981, c1974.</t>
        </is>
      </c>
      <c r="O609" t="inlineStr">
        <is>
          <t>1981</t>
        </is>
      </c>
      <c r="P609" t="inlineStr">
        <is>
          <t>2a ed.</t>
        </is>
      </c>
      <c r="Q609" t="inlineStr">
        <is>
          <t>spa</t>
        </is>
      </c>
      <c r="R609" t="inlineStr">
        <is>
          <t xml:space="preserve">sp </t>
        </is>
      </c>
      <c r="S609" t="inlineStr">
        <is>
          <t>Biblioteca breve de bolsillo. Serie mayor ; 19</t>
        </is>
      </c>
      <c r="T609" t="inlineStr">
        <is>
          <t xml:space="preserve">PQ </t>
        </is>
      </c>
      <c r="U609" t="n">
        <v>5</v>
      </c>
      <c r="V609" t="n">
        <v>5</v>
      </c>
      <c r="W609" t="inlineStr">
        <is>
          <t>2000-04-26</t>
        </is>
      </c>
      <c r="X609" t="inlineStr">
        <is>
          <t>2000-04-26</t>
        </is>
      </c>
      <c r="Y609" t="inlineStr">
        <is>
          <t>1990-06-13</t>
        </is>
      </c>
      <c r="Z609" t="inlineStr">
        <is>
          <t>1990-06-13</t>
        </is>
      </c>
      <c r="AA609" t="n">
        <v>32</v>
      </c>
      <c r="AB609" t="n">
        <v>26</v>
      </c>
      <c r="AC609" t="n">
        <v>74</v>
      </c>
      <c r="AD609" t="n">
        <v>2</v>
      </c>
      <c r="AE609" t="n">
        <v>2</v>
      </c>
      <c r="AF609" t="n">
        <v>2</v>
      </c>
      <c r="AG609" t="n">
        <v>8</v>
      </c>
      <c r="AH609" t="n">
        <v>0</v>
      </c>
      <c r="AI609" t="n">
        <v>3</v>
      </c>
      <c r="AJ609" t="n">
        <v>1</v>
      </c>
      <c r="AK609" t="n">
        <v>3</v>
      </c>
      <c r="AL609" t="n">
        <v>0</v>
      </c>
      <c r="AM609" t="n">
        <v>3</v>
      </c>
      <c r="AN609" t="n">
        <v>1</v>
      </c>
      <c r="AO609" t="n">
        <v>1</v>
      </c>
      <c r="AP609" t="n">
        <v>0</v>
      </c>
      <c r="AQ609" t="n">
        <v>0</v>
      </c>
      <c r="AR609" t="inlineStr">
        <is>
          <t>No</t>
        </is>
      </c>
      <c r="AS609" t="inlineStr">
        <is>
          <t>No</t>
        </is>
      </c>
      <c r="AU609">
        <f>HYPERLINK("https://creighton-primo.hosted.exlibrisgroup.com/primo-explore/search?tab=default_tab&amp;search_scope=EVERYTHING&amp;vid=01CRU&amp;lang=en_US&amp;offset=0&amp;query=any,contains,991000467499702656","Catalog Record")</f>
        <v/>
      </c>
      <c r="AV609">
        <f>HYPERLINK("http://www.worldcat.org/oclc/10984580","WorldCat Record")</f>
        <v/>
      </c>
      <c r="AW609" t="inlineStr">
        <is>
          <t>10792873457:spa</t>
        </is>
      </c>
      <c r="AX609" t="inlineStr">
        <is>
          <t>10984580</t>
        </is>
      </c>
      <c r="AY609" t="inlineStr">
        <is>
          <t>991000467499702656</t>
        </is>
      </c>
      <c r="AZ609" t="inlineStr">
        <is>
          <t>991000467499702656</t>
        </is>
      </c>
      <c r="BA609" t="inlineStr">
        <is>
          <t>2260221170002656</t>
        </is>
      </c>
      <c r="BB609" t="inlineStr">
        <is>
          <t>BOOK</t>
        </is>
      </c>
      <c r="BD609" t="inlineStr">
        <is>
          <t>9788432238192</t>
        </is>
      </c>
      <c r="BE609" t="inlineStr">
        <is>
          <t>32285000176213</t>
        </is>
      </c>
      <c r="BF609" t="inlineStr">
        <is>
          <t>893714614</t>
        </is>
      </c>
    </row>
    <row r="610">
      <c r="A610" t="inlineStr">
        <is>
          <t>No</t>
        </is>
      </c>
      <c r="B610" t="inlineStr">
        <is>
          <t>CURAL</t>
        </is>
      </c>
      <c r="C610" t="inlineStr">
        <is>
          <t>SHELVES</t>
        </is>
      </c>
      <c r="D610" t="inlineStr">
        <is>
          <t>PQ6412.M6 S4</t>
        </is>
      </c>
      <c r="E610" t="inlineStr">
        <is>
          <t>0                      PQ 6412000M  6                  S  4</t>
        </is>
      </c>
      <c r="F610" t="inlineStr">
        <is>
          <t>Personalidad y destino de Jorge Manrique.</t>
        </is>
      </c>
      <c r="H610" t="inlineStr">
        <is>
          <t>No</t>
        </is>
      </c>
      <c r="I610" t="inlineStr">
        <is>
          <t>1</t>
        </is>
      </c>
      <c r="J610" t="inlineStr">
        <is>
          <t>No</t>
        </is>
      </c>
      <c r="K610" t="inlineStr">
        <is>
          <t>No</t>
        </is>
      </c>
      <c r="L610" t="inlineStr">
        <is>
          <t>0</t>
        </is>
      </c>
      <c r="M610" t="inlineStr">
        <is>
          <t>Serrano de Haro, Antonio.</t>
        </is>
      </c>
      <c r="N610" t="inlineStr">
        <is>
          <t>Madrid, Editorial Gredos [1966]</t>
        </is>
      </c>
      <c r="O610" t="inlineStr">
        <is>
          <t>1966</t>
        </is>
      </c>
      <c r="Q610" t="inlineStr">
        <is>
          <t>spa</t>
        </is>
      </c>
      <c r="R610" t="inlineStr">
        <is>
          <t xml:space="preserve">sp </t>
        </is>
      </c>
      <c r="S610" t="inlineStr">
        <is>
          <t>Biblioteca románica hispánica. 2. Estudios y ensayos [93]</t>
        </is>
      </c>
      <c r="T610" t="inlineStr">
        <is>
          <t xml:space="preserve">PQ </t>
        </is>
      </c>
      <c r="U610" t="n">
        <v>3</v>
      </c>
      <c r="V610" t="n">
        <v>3</v>
      </c>
      <c r="W610" t="inlineStr">
        <is>
          <t>2000-04-26</t>
        </is>
      </c>
      <c r="X610" t="inlineStr">
        <is>
          <t>2000-04-26</t>
        </is>
      </c>
      <c r="Y610" t="inlineStr">
        <is>
          <t>1997-07-08</t>
        </is>
      </c>
      <c r="Z610" t="inlineStr">
        <is>
          <t>1997-07-08</t>
        </is>
      </c>
      <c r="AA610" t="n">
        <v>368</v>
      </c>
      <c r="AB610" t="n">
        <v>302</v>
      </c>
      <c r="AC610" t="n">
        <v>305</v>
      </c>
      <c r="AD610" t="n">
        <v>3</v>
      </c>
      <c r="AE610" t="n">
        <v>3</v>
      </c>
      <c r="AF610" t="n">
        <v>16</v>
      </c>
      <c r="AG610" t="n">
        <v>16</v>
      </c>
      <c r="AH610" t="n">
        <v>5</v>
      </c>
      <c r="AI610" t="n">
        <v>5</v>
      </c>
      <c r="AJ610" t="n">
        <v>5</v>
      </c>
      <c r="AK610" t="n">
        <v>5</v>
      </c>
      <c r="AL610" t="n">
        <v>9</v>
      </c>
      <c r="AM610" t="n">
        <v>9</v>
      </c>
      <c r="AN610" t="n">
        <v>2</v>
      </c>
      <c r="AO610" t="n">
        <v>2</v>
      </c>
      <c r="AP610" t="n">
        <v>0</v>
      </c>
      <c r="AQ610" t="n">
        <v>0</v>
      </c>
      <c r="AR610" t="inlineStr">
        <is>
          <t>No</t>
        </is>
      </c>
      <c r="AS610" t="inlineStr">
        <is>
          <t>No</t>
        </is>
      </c>
      <c r="AU610">
        <f>HYPERLINK("https://creighton-primo.hosted.exlibrisgroup.com/primo-explore/search?tab=default_tab&amp;search_scope=EVERYTHING&amp;vid=01CRU&amp;lang=en_US&amp;offset=0&amp;query=any,contains,991003557219702656","Catalog Record")</f>
        <v/>
      </c>
      <c r="AV610">
        <f>HYPERLINK("http://www.worldcat.org/oclc/1125990","WorldCat Record")</f>
        <v/>
      </c>
      <c r="AW610" t="inlineStr">
        <is>
          <t>2036804:spa</t>
        </is>
      </c>
      <c r="AX610" t="inlineStr">
        <is>
          <t>1125990</t>
        </is>
      </c>
      <c r="AY610" t="inlineStr">
        <is>
          <t>991003557219702656</t>
        </is>
      </c>
      <c r="AZ610" t="inlineStr">
        <is>
          <t>991003557219702656</t>
        </is>
      </c>
      <c r="BA610" t="inlineStr">
        <is>
          <t>2268956240002656</t>
        </is>
      </c>
      <c r="BB610" t="inlineStr">
        <is>
          <t>BOOK</t>
        </is>
      </c>
      <c r="BE610" t="inlineStr">
        <is>
          <t>32285002519485</t>
        </is>
      </c>
      <c r="BF610" t="inlineStr">
        <is>
          <t>893531294</t>
        </is>
      </c>
    </row>
    <row r="611">
      <c r="A611" t="inlineStr">
        <is>
          <t>No</t>
        </is>
      </c>
      <c r="B611" t="inlineStr">
        <is>
          <t>CURAL</t>
        </is>
      </c>
      <c r="C611" t="inlineStr">
        <is>
          <t>SHELVES</t>
        </is>
      </c>
      <c r="D611" t="inlineStr">
        <is>
          <t>PQ6412.M7 Z65</t>
        </is>
      </c>
      <c r="E611" t="inlineStr">
        <is>
          <t>0                      PQ 6412000M  7                  Z  65</t>
        </is>
      </c>
      <c r="F611" t="inlineStr">
        <is>
          <t>Alfonso Martínez de Toledo / by E. Michael Gerli.</t>
        </is>
      </c>
      <c r="H611" t="inlineStr">
        <is>
          <t>No</t>
        </is>
      </c>
      <c r="I611" t="inlineStr">
        <is>
          <t>1</t>
        </is>
      </c>
      <c r="J611" t="inlineStr">
        <is>
          <t>No</t>
        </is>
      </c>
      <c r="K611" t="inlineStr">
        <is>
          <t>No</t>
        </is>
      </c>
      <c r="L611" t="inlineStr">
        <is>
          <t>0</t>
        </is>
      </c>
      <c r="M611" t="inlineStr">
        <is>
          <t>Gerli, E. Michael.</t>
        </is>
      </c>
      <c r="N611" t="inlineStr">
        <is>
          <t>Boston : Twayne Publishers, c1976.</t>
        </is>
      </c>
      <c r="O611" t="inlineStr">
        <is>
          <t>1976</t>
        </is>
      </c>
      <c r="Q611" t="inlineStr">
        <is>
          <t>eng</t>
        </is>
      </c>
      <c r="R611" t="inlineStr">
        <is>
          <t>mau</t>
        </is>
      </c>
      <c r="S611" t="inlineStr">
        <is>
          <t>Twayne's world authors series ; TWAS 398 : Spain</t>
        </is>
      </c>
      <c r="T611" t="inlineStr">
        <is>
          <t xml:space="preserve">PQ </t>
        </is>
      </c>
      <c r="U611" t="n">
        <v>3</v>
      </c>
      <c r="V611" t="n">
        <v>3</v>
      </c>
      <c r="W611" t="inlineStr">
        <is>
          <t>1998-04-10</t>
        </is>
      </c>
      <c r="X611" t="inlineStr">
        <is>
          <t>1998-04-10</t>
        </is>
      </c>
      <c r="Y611" t="inlineStr">
        <is>
          <t>1991-06-13</t>
        </is>
      </c>
      <c r="Z611" t="inlineStr">
        <is>
          <t>1991-06-13</t>
        </is>
      </c>
      <c r="AA611" t="n">
        <v>501</v>
      </c>
      <c r="AB611" t="n">
        <v>444</v>
      </c>
      <c r="AC611" t="n">
        <v>451</v>
      </c>
      <c r="AD611" t="n">
        <v>4</v>
      </c>
      <c r="AE611" t="n">
        <v>4</v>
      </c>
      <c r="AF611" t="n">
        <v>21</v>
      </c>
      <c r="AG611" t="n">
        <v>21</v>
      </c>
      <c r="AH611" t="n">
        <v>9</v>
      </c>
      <c r="AI611" t="n">
        <v>9</v>
      </c>
      <c r="AJ611" t="n">
        <v>5</v>
      </c>
      <c r="AK611" t="n">
        <v>5</v>
      </c>
      <c r="AL611" t="n">
        <v>11</v>
      </c>
      <c r="AM611" t="n">
        <v>11</v>
      </c>
      <c r="AN611" t="n">
        <v>3</v>
      </c>
      <c r="AO611" t="n">
        <v>3</v>
      </c>
      <c r="AP611" t="n">
        <v>0</v>
      </c>
      <c r="AQ611" t="n">
        <v>0</v>
      </c>
      <c r="AR611" t="inlineStr">
        <is>
          <t>No</t>
        </is>
      </c>
      <c r="AS611" t="inlineStr">
        <is>
          <t>Yes</t>
        </is>
      </c>
      <c r="AT611">
        <f>HYPERLINK("http://catalog.hathitrust.org/Record/000746635","HathiTrust Record")</f>
        <v/>
      </c>
      <c r="AU611">
        <f>HYPERLINK("https://creighton-primo.hosted.exlibrisgroup.com/primo-explore/search?tab=default_tab&amp;search_scope=EVERYTHING&amp;vid=01CRU&amp;lang=en_US&amp;offset=0&amp;query=any,contains,991004132139702656","Catalog Record")</f>
        <v/>
      </c>
      <c r="AV611">
        <f>HYPERLINK("http://www.worldcat.org/oclc/2473563","WorldCat Record")</f>
        <v/>
      </c>
      <c r="AW611" t="inlineStr">
        <is>
          <t>5113099:eng</t>
        </is>
      </c>
      <c r="AX611" t="inlineStr">
        <is>
          <t>2473563</t>
        </is>
      </c>
      <c r="AY611" t="inlineStr">
        <is>
          <t>991004132139702656</t>
        </is>
      </c>
      <c r="AZ611" t="inlineStr">
        <is>
          <t>991004132139702656</t>
        </is>
      </c>
      <c r="BA611" t="inlineStr">
        <is>
          <t>2256303260002656</t>
        </is>
      </c>
      <c r="BB611" t="inlineStr">
        <is>
          <t>BOOK</t>
        </is>
      </c>
      <c r="BD611" t="inlineStr">
        <is>
          <t>9780805762396</t>
        </is>
      </c>
      <c r="BE611" t="inlineStr">
        <is>
          <t>32285000630094</t>
        </is>
      </c>
      <c r="BF611" t="inlineStr">
        <is>
          <t>893693563</t>
        </is>
      </c>
    </row>
    <row r="612">
      <c r="A612" t="inlineStr">
        <is>
          <t>No</t>
        </is>
      </c>
      <c r="B612" t="inlineStr">
        <is>
          <t>CURAL</t>
        </is>
      </c>
      <c r="C612" t="inlineStr">
        <is>
          <t>SHELVES</t>
        </is>
      </c>
      <c r="D612" t="inlineStr">
        <is>
          <t>PQ6413 .M6 1986</t>
        </is>
      </c>
      <c r="E612" t="inlineStr">
        <is>
          <t>0                      PQ 6413000M  6           1986</t>
        </is>
      </c>
      <c r="F612" t="inlineStr">
        <is>
          <t>Las Coplas de Mingo Revulgo / edición, estudio preliminar y notas de Vivana Brodey.</t>
        </is>
      </c>
      <c r="H612" t="inlineStr">
        <is>
          <t>No</t>
        </is>
      </c>
      <c r="I612" t="inlineStr">
        <is>
          <t>1</t>
        </is>
      </c>
      <c r="J612" t="inlineStr">
        <is>
          <t>No</t>
        </is>
      </c>
      <c r="K612" t="inlineStr">
        <is>
          <t>No</t>
        </is>
      </c>
      <c r="L612" t="inlineStr">
        <is>
          <t>0</t>
        </is>
      </c>
      <c r="N612" t="inlineStr">
        <is>
          <t>Madison : Hispanic Seminary of Medieval Studies, 1986.</t>
        </is>
      </c>
      <c r="O612" t="inlineStr">
        <is>
          <t>1986</t>
        </is>
      </c>
      <c r="Q612" t="inlineStr">
        <is>
          <t>spa</t>
        </is>
      </c>
      <c r="R612" t="inlineStr">
        <is>
          <t>wiu</t>
        </is>
      </c>
      <c r="S612" t="inlineStr">
        <is>
          <t>Spanish series ; no. 30</t>
        </is>
      </c>
      <c r="T612" t="inlineStr">
        <is>
          <t xml:space="preserve">PQ </t>
        </is>
      </c>
      <c r="U612" t="n">
        <v>2</v>
      </c>
      <c r="V612" t="n">
        <v>2</v>
      </c>
      <c r="W612" t="inlineStr">
        <is>
          <t>2005-03-02</t>
        </is>
      </c>
      <c r="X612" t="inlineStr">
        <is>
          <t>2005-03-02</t>
        </is>
      </c>
      <c r="Y612" t="inlineStr">
        <is>
          <t>2005-03-02</t>
        </is>
      </c>
      <c r="Z612" t="inlineStr">
        <is>
          <t>2005-03-02</t>
        </is>
      </c>
      <c r="AA612" t="n">
        <v>124</v>
      </c>
      <c r="AB612" t="n">
        <v>98</v>
      </c>
      <c r="AC612" t="n">
        <v>109</v>
      </c>
      <c r="AD612" t="n">
        <v>2</v>
      </c>
      <c r="AE612" t="n">
        <v>2</v>
      </c>
      <c r="AF612" t="n">
        <v>6</v>
      </c>
      <c r="AG612" t="n">
        <v>6</v>
      </c>
      <c r="AH612" t="n">
        <v>1</v>
      </c>
      <c r="AI612" t="n">
        <v>1</v>
      </c>
      <c r="AJ612" t="n">
        <v>2</v>
      </c>
      <c r="AK612" t="n">
        <v>2</v>
      </c>
      <c r="AL612" t="n">
        <v>5</v>
      </c>
      <c r="AM612" t="n">
        <v>5</v>
      </c>
      <c r="AN612" t="n">
        <v>1</v>
      </c>
      <c r="AO612" t="n">
        <v>1</v>
      </c>
      <c r="AP612" t="n">
        <v>0</v>
      </c>
      <c r="AQ612" t="n">
        <v>0</v>
      </c>
      <c r="AR612" t="inlineStr">
        <is>
          <t>No</t>
        </is>
      </c>
      <c r="AS612" t="inlineStr">
        <is>
          <t>No</t>
        </is>
      </c>
      <c r="AU612">
        <f>HYPERLINK("https://creighton-primo.hosted.exlibrisgroup.com/primo-explore/search?tab=default_tab&amp;search_scope=EVERYTHING&amp;vid=01CRU&amp;lang=en_US&amp;offset=0&amp;query=any,contains,991004489739702656","Catalog Record")</f>
        <v/>
      </c>
      <c r="AV612">
        <f>HYPERLINK("http://www.worldcat.org/oclc/15197110","WorldCat Record")</f>
        <v/>
      </c>
      <c r="AW612" t="inlineStr">
        <is>
          <t>5534197576:spa</t>
        </is>
      </c>
      <c r="AX612" t="inlineStr">
        <is>
          <t>15197110</t>
        </is>
      </c>
      <c r="AY612" t="inlineStr">
        <is>
          <t>991004489739702656</t>
        </is>
      </c>
      <c r="AZ612" t="inlineStr">
        <is>
          <t>991004489739702656</t>
        </is>
      </c>
      <c r="BA612" t="inlineStr">
        <is>
          <t>2259946740002656</t>
        </is>
      </c>
      <c r="BB612" t="inlineStr">
        <is>
          <t>BOOK</t>
        </is>
      </c>
      <c r="BD612" t="inlineStr">
        <is>
          <t>9780942260748</t>
        </is>
      </c>
      <c r="BE612" t="inlineStr">
        <is>
          <t>32285005028708</t>
        </is>
      </c>
      <c r="BF612" t="inlineStr">
        <is>
          <t>893712661</t>
        </is>
      </c>
    </row>
    <row r="613">
      <c r="A613" t="inlineStr">
        <is>
          <t>No</t>
        </is>
      </c>
      <c r="B613" t="inlineStr">
        <is>
          <t>CURAL</t>
        </is>
      </c>
      <c r="C613" t="inlineStr">
        <is>
          <t>SHELVES</t>
        </is>
      </c>
      <c r="D613" t="inlineStr">
        <is>
          <t>PQ6413.M2 L3 1960</t>
        </is>
      </c>
      <c r="E613" t="inlineStr">
        <is>
          <t>0                      PQ 6413000M  2                  L  3           1960</t>
        </is>
      </c>
      <c r="F613" t="inlineStr">
        <is>
          <t>El laberinto de Fortuna; o, Las trescientas. Edición prólogo y notas por José Manuel Blecua.</t>
        </is>
      </c>
      <c r="H613" t="inlineStr">
        <is>
          <t>No</t>
        </is>
      </c>
      <c r="I613" t="inlineStr">
        <is>
          <t>1</t>
        </is>
      </c>
      <c r="J613" t="inlineStr">
        <is>
          <t>No</t>
        </is>
      </c>
      <c r="K613" t="inlineStr">
        <is>
          <t>No</t>
        </is>
      </c>
      <c r="L613" t="inlineStr">
        <is>
          <t>0</t>
        </is>
      </c>
      <c r="M613" t="inlineStr">
        <is>
          <t>Mena, Juan de, 1411-1456.</t>
        </is>
      </c>
      <c r="N613" t="inlineStr">
        <is>
          <t>Madrid, Espasa-Calpe, s. a., 1960.</t>
        </is>
      </c>
      <c r="O613" t="inlineStr">
        <is>
          <t>1960</t>
        </is>
      </c>
      <c r="Q613" t="inlineStr">
        <is>
          <t>spa</t>
        </is>
      </c>
      <c r="R613" t="inlineStr">
        <is>
          <t xml:space="preserve">sp </t>
        </is>
      </c>
      <c r="S613" t="inlineStr">
        <is>
          <t>Clásicos castellanos ; 119</t>
        </is>
      </c>
      <c r="T613" t="inlineStr">
        <is>
          <t xml:space="preserve">PQ </t>
        </is>
      </c>
      <c r="U613" t="n">
        <v>3</v>
      </c>
      <c r="V613" t="n">
        <v>3</v>
      </c>
      <c r="W613" t="inlineStr">
        <is>
          <t>2000-04-25</t>
        </is>
      </c>
      <c r="X613" t="inlineStr">
        <is>
          <t>2000-04-25</t>
        </is>
      </c>
      <c r="Y613" t="inlineStr">
        <is>
          <t>2000-03-21</t>
        </is>
      </c>
      <c r="Z613" t="inlineStr">
        <is>
          <t>2000-03-21</t>
        </is>
      </c>
      <c r="AA613" t="n">
        <v>332</v>
      </c>
      <c r="AB613" t="n">
        <v>278</v>
      </c>
      <c r="AC613" t="n">
        <v>528</v>
      </c>
      <c r="AD613" t="n">
        <v>1</v>
      </c>
      <c r="AE613" t="n">
        <v>2</v>
      </c>
      <c r="AF613" t="n">
        <v>11</v>
      </c>
      <c r="AG613" t="n">
        <v>30</v>
      </c>
      <c r="AH613" t="n">
        <v>7</v>
      </c>
      <c r="AI613" t="n">
        <v>13</v>
      </c>
      <c r="AJ613" t="n">
        <v>0</v>
      </c>
      <c r="AK613" t="n">
        <v>7</v>
      </c>
      <c r="AL613" t="n">
        <v>5</v>
      </c>
      <c r="AM613" t="n">
        <v>15</v>
      </c>
      <c r="AN613" t="n">
        <v>0</v>
      </c>
      <c r="AO613" t="n">
        <v>1</v>
      </c>
      <c r="AP613" t="n">
        <v>0</v>
      </c>
      <c r="AQ613" t="n">
        <v>0</v>
      </c>
      <c r="AR613" t="inlineStr">
        <is>
          <t>No</t>
        </is>
      </c>
      <c r="AS613" t="inlineStr">
        <is>
          <t>Yes</t>
        </is>
      </c>
      <c r="AT613">
        <f>HYPERLINK("http://catalog.hathitrust.org/Record/006226947","HathiTrust Record")</f>
        <v/>
      </c>
      <c r="AU613">
        <f>HYPERLINK("https://creighton-primo.hosted.exlibrisgroup.com/primo-explore/search?tab=default_tab&amp;search_scope=EVERYTHING&amp;vid=01CRU&amp;lang=en_US&amp;offset=0&amp;query=any,contains,991004161009702656","Catalog Record")</f>
        <v/>
      </c>
      <c r="AV613">
        <f>HYPERLINK("http://www.worldcat.org/oclc/2551592","WorldCat Record")</f>
        <v/>
      </c>
      <c r="AW613" t="inlineStr">
        <is>
          <t>10627727482:spa</t>
        </is>
      </c>
      <c r="AX613" t="inlineStr">
        <is>
          <t>2551592</t>
        </is>
      </c>
      <c r="AY613" t="inlineStr">
        <is>
          <t>991004161009702656</t>
        </is>
      </c>
      <c r="AZ613" t="inlineStr">
        <is>
          <t>991004161009702656</t>
        </is>
      </c>
      <c r="BA613" t="inlineStr">
        <is>
          <t>2255644400002656</t>
        </is>
      </c>
      <c r="BB613" t="inlineStr">
        <is>
          <t>BOOK</t>
        </is>
      </c>
      <c r="BE613" t="inlineStr">
        <is>
          <t>32285002519501</t>
        </is>
      </c>
      <c r="BF613" t="inlineStr">
        <is>
          <t>893788352</t>
        </is>
      </c>
    </row>
    <row r="614">
      <c r="A614" t="inlineStr">
        <is>
          <t>No</t>
        </is>
      </c>
      <c r="B614" t="inlineStr">
        <is>
          <t>CURAL</t>
        </is>
      </c>
      <c r="C614" t="inlineStr">
        <is>
          <t>SHELVES</t>
        </is>
      </c>
      <c r="D614" t="inlineStr">
        <is>
          <t>PQ6413.M25 Z8</t>
        </is>
      </c>
      <c r="E614" t="inlineStr">
        <is>
          <t>0                      PQ 6413000M  25                 Z  8</t>
        </is>
      </c>
      <c r="F614" t="inlineStr">
        <is>
          <t>Fray Iñigo de Mendoza y sus coplas de Vita Christi.</t>
        </is>
      </c>
      <c r="H614" t="inlineStr">
        <is>
          <t>No</t>
        </is>
      </c>
      <c r="I614" t="inlineStr">
        <is>
          <t>1</t>
        </is>
      </c>
      <c r="J614" t="inlineStr">
        <is>
          <t>No</t>
        </is>
      </c>
      <c r="K614" t="inlineStr">
        <is>
          <t>No</t>
        </is>
      </c>
      <c r="L614" t="inlineStr">
        <is>
          <t>0</t>
        </is>
      </c>
      <c r="M614" t="inlineStr">
        <is>
          <t>Rodríguez-Puértolas, Julio.</t>
        </is>
      </c>
      <c r="N614" t="inlineStr">
        <is>
          <t>Madrid, Editorial Gredos [1968]</t>
        </is>
      </c>
      <c r="O614" t="inlineStr">
        <is>
          <t>1968</t>
        </is>
      </c>
      <c r="Q614" t="inlineStr">
        <is>
          <t>spa</t>
        </is>
      </c>
      <c r="R614" t="inlineStr">
        <is>
          <t xml:space="preserve">sp </t>
        </is>
      </c>
      <c r="S614" t="inlineStr">
        <is>
          <t>Bibliotheca románica hispánica. 4. Textos</t>
        </is>
      </c>
      <c r="T614" t="inlineStr">
        <is>
          <t xml:space="preserve">PQ </t>
        </is>
      </c>
      <c r="U614" t="n">
        <v>1</v>
      </c>
      <c r="V614" t="n">
        <v>1</v>
      </c>
      <c r="W614" t="inlineStr">
        <is>
          <t>2004-02-09</t>
        </is>
      </c>
      <c r="X614" t="inlineStr">
        <is>
          <t>2004-02-09</t>
        </is>
      </c>
      <c r="Y614" t="inlineStr">
        <is>
          <t>1997-07-08</t>
        </is>
      </c>
      <c r="Z614" t="inlineStr">
        <is>
          <t>1997-07-08</t>
        </is>
      </c>
      <c r="AA614" t="n">
        <v>212</v>
      </c>
      <c r="AB614" t="n">
        <v>170</v>
      </c>
      <c r="AC614" t="n">
        <v>176</v>
      </c>
      <c r="AD614" t="n">
        <v>1</v>
      </c>
      <c r="AE614" t="n">
        <v>2</v>
      </c>
      <c r="AF614" t="n">
        <v>8</v>
      </c>
      <c r="AG614" t="n">
        <v>9</v>
      </c>
      <c r="AH614" t="n">
        <v>1</v>
      </c>
      <c r="AI614" t="n">
        <v>1</v>
      </c>
      <c r="AJ614" t="n">
        <v>2</v>
      </c>
      <c r="AK614" t="n">
        <v>2</v>
      </c>
      <c r="AL614" t="n">
        <v>6</v>
      </c>
      <c r="AM614" t="n">
        <v>6</v>
      </c>
      <c r="AN614" t="n">
        <v>0</v>
      </c>
      <c r="AO614" t="n">
        <v>1</v>
      </c>
      <c r="AP614" t="n">
        <v>0</v>
      </c>
      <c r="AQ614" t="n">
        <v>0</v>
      </c>
      <c r="AR614" t="inlineStr">
        <is>
          <t>No</t>
        </is>
      </c>
      <c r="AS614" t="inlineStr">
        <is>
          <t>Yes</t>
        </is>
      </c>
      <c r="AT614">
        <f>HYPERLINK("http://catalog.hathitrust.org/Record/001052674","HathiTrust Record")</f>
        <v/>
      </c>
      <c r="AU614">
        <f>HYPERLINK("https://creighton-primo.hosted.exlibrisgroup.com/primo-explore/search?tab=default_tab&amp;search_scope=EVERYTHING&amp;vid=01CRU&amp;lang=en_US&amp;offset=0&amp;query=any,contains,991003141899702656","Catalog Record")</f>
        <v/>
      </c>
      <c r="AV614">
        <f>HYPERLINK("http://www.worldcat.org/oclc/683195","WorldCat Record")</f>
        <v/>
      </c>
      <c r="AW614" t="inlineStr">
        <is>
          <t>1758851:spa</t>
        </is>
      </c>
      <c r="AX614" t="inlineStr">
        <is>
          <t>683195</t>
        </is>
      </c>
      <c r="AY614" t="inlineStr">
        <is>
          <t>991003141899702656</t>
        </is>
      </c>
      <c r="AZ614" t="inlineStr">
        <is>
          <t>991003141899702656</t>
        </is>
      </c>
      <c r="BA614" t="inlineStr">
        <is>
          <t>2263002950002656</t>
        </is>
      </c>
      <c r="BB614" t="inlineStr">
        <is>
          <t>BOOK</t>
        </is>
      </c>
      <c r="BE614" t="inlineStr">
        <is>
          <t>32285002519519</t>
        </is>
      </c>
      <c r="BF614" t="inlineStr">
        <is>
          <t>893780652</t>
        </is>
      </c>
    </row>
    <row r="615">
      <c r="A615" t="inlineStr">
        <is>
          <t>No</t>
        </is>
      </c>
      <c r="B615" t="inlineStr">
        <is>
          <t>CURAL</t>
        </is>
      </c>
      <c r="C615" t="inlineStr">
        <is>
          <t>SHELVES</t>
        </is>
      </c>
      <c r="D615" t="inlineStr">
        <is>
          <t>PQ6415.M8 P64 1990</t>
        </is>
      </c>
      <c r="E615" t="inlineStr">
        <is>
          <t>0                      PQ 6415000M  8                  P  64          1990</t>
        </is>
      </c>
      <c r="F615" t="inlineStr">
        <is>
          <t>Poesía completa / Antón de Montoro ; prólogo de Brian Dutton ; edición, estudio y notas de Marithelma Costa.</t>
        </is>
      </c>
      <c r="H615" t="inlineStr">
        <is>
          <t>No</t>
        </is>
      </c>
      <c r="I615" t="inlineStr">
        <is>
          <t>1</t>
        </is>
      </c>
      <c r="J615" t="inlineStr">
        <is>
          <t>No</t>
        </is>
      </c>
      <c r="K615" t="inlineStr">
        <is>
          <t>No</t>
        </is>
      </c>
      <c r="L615" t="inlineStr">
        <is>
          <t>0</t>
        </is>
      </c>
      <c r="M615" t="inlineStr">
        <is>
          <t>Montoro, Antón de, 1404-1480.</t>
        </is>
      </c>
      <c r="N615" t="inlineStr">
        <is>
          <t>Cleveland : Cleveland State University ; New York, N.Y. : Distribución, M. Costa, Dept. of Romance Languages, Hunter College, 1990.</t>
        </is>
      </c>
      <c r="O615" t="inlineStr">
        <is>
          <t>1990</t>
        </is>
      </c>
      <c r="Q615" t="inlineStr">
        <is>
          <t>spa</t>
        </is>
      </c>
      <c r="R615" t="inlineStr">
        <is>
          <t>ohu</t>
        </is>
      </c>
      <c r="S615" t="inlineStr">
        <is>
          <t>Colección Cancioneros castellanos ; v. 3</t>
        </is>
      </c>
      <c r="T615" t="inlineStr">
        <is>
          <t xml:space="preserve">PQ </t>
        </is>
      </c>
      <c r="U615" t="n">
        <v>2</v>
      </c>
      <c r="V615" t="n">
        <v>2</v>
      </c>
      <c r="W615" t="inlineStr">
        <is>
          <t>2005-03-22</t>
        </is>
      </c>
      <c r="X615" t="inlineStr">
        <is>
          <t>2005-03-22</t>
        </is>
      </c>
      <c r="Y615" t="inlineStr">
        <is>
          <t>2005-03-22</t>
        </is>
      </c>
      <c r="Z615" t="inlineStr">
        <is>
          <t>2005-03-22</t>
        </is>
      </c>
      <c r="AA615" t="n">
        <v>74</v>
      </c>
      <c r="AB615" t="n">
        <v>56</v>
      </c>
      <c r="AC615" t="n">
        <v>63</v>
      </c>
      <c r="AD615" t="n">
        <v>1</v>
      </c>
      <c r="AE615" t="n">
        <v>1</v>
      </c>
      <c r="AF615" t="n">
        <v>3</v>
      </c>
      <c r="AG615" t="n">
        <v>3</v>
      </c>
      <c r="AH615" t="n">
        <v>0</v>
      </c>
      <c r="AI615" t="n">
        <v>0</v>
      </c>
      <c r="AJ615" t="n">
        <v>2</v>
      </c>
      <c r="AK615" t="n">
        <v>2</v>
      </c>
      <c r="AL615" t="n">
        <v>2</v>
      </c>
      <c r="AM615" t="n">
        <v>2</v>
      </c>
      <c r="AN615" t="n">
        <v>0</v>
      </c>
      <c r="AO615" t="n">
        <v>0</v>
      </c>
      <c r="AP615" t="n">
        <v>0</v>
      </c>
      <c r="AQ615" t="n">
        <v>0</v>
      </c>
      <c r="AR615" t="inlineStr">
        <is>
          <t>No</t>
        </is>
      </c>
      <c r="AS615" t="inlineStr">
        <is>
          <t>Yes</t>
        </is>
      </c>
      <c r="AT615">
        <f>HYPERLINK("http://catalog.hathitrust.org/Record/002911627","HathiTrust Record")</f>
        <v/>
      </c>
      <c r="AU615">
        <f>HYPERLINK("https://creighton-primo.hosted.exlibrisgroup.com/primo-explore/search?tab=default_tab&amp;search_scope=EVERYTHING&amp;vid=01CRU&amp;lang=en_US&amp;offset=0&amp;query=any,contains,991004508199702656","Catalog Record")</f>
        <v/>
      </c>
      <c r="AV615">
        <f>HYPERLINK("http://www.worldcat.org/oclc/23049636","WorldCat Record")</f>
        <v/>
      </c>
      <c r="AW615" t="inlineStr">
        <is>
          <t>352037318:spa</t>
        </is>
      </c>
      <c r="AX615" t="inlineStr">
        <is>
          <t>23049636</t>
        </is>
      </c>
      <c r="AY615" t="inlineStr">
        <is>
          <t>991004508199702656</t>
        </is>
      </c>
      <c r="AZ615" t="inlineStr">
        <is>
          <t>991004508199702656</t>
        </is>
      </c>
      <c r="BA615" t="inlineStr">
        <is>
          <t>2256808670002656</t>
        </is>
      </c>
      <c r="BB615" t="inlineStr">
        <is>
          <t>BOOK</t>
        </is>
      </c>
      <c r="BE615" t="inlineStr">
        <is>
          <t>32285005029599</t>
        </is>
      </c>
      <c r="BF615" t="inlineStr">
        <is>
          <t>893788778</t>
        </is>
      </c>
    </row>
    <row r="616">
      <c r="A616" t="inlineStr">
        <is>
          <t>No</t>
        </is>
      </c>
      <c r="B616" t="inlineStr">
        <is>
          <t>CURAL</t>
        </is>
      </c>
      <c r="C616" t="inlineStr">
        <is>
          <t>SHELVES</t>
        </is>
      </c>
      <c r="D616" t="inlineStr">
        <is>
          <t>PQ6421 .A1 1974</t>
        </is>
      </c>
      <c r="E616" t="inlineStr">
        <is>
          <t>0                      PQ 6421000A  1           1974</t>
        </is>
      </c>
      <c r="F616" t="inlineStr">
        <is>
          <t>Obras completas / Francisco de Quevedo ; edición introducción, bibliografía y notas de José Manuel Blecua.</t>
        </is>
      </c>
      <c r="G616" t="inlineStr">
        <is>
          <t>V.1</t>
        </is>
      </c>
      <c r="H616" t="inlineStr">
        <is>
          <t>No</t>
        </is>
      </c>
      <c r="I616" t="inlineStr">
        <is>
          <t>1</t>
        </is>
      </c>
      <c r="J616" t="inlineStr">
        <is>
          <t>No</t>
        </is>
      </c>
      <c r="K616" t="inlineStr">
        <is>
          <t>No</t>
        </is>
      </c>
      <c r="L616" t="inlineStr">
        <is>
          <t>0</t>
        </is>
      </c>
      <c r="M616" t="inlineStr">
        <is>
          <t>Quevedo, Francisco de, 1580-1645.</t>
        </is>
      </c>
      <c r="N616" t="inlineStr">
        <is>
          <t>Barcelona : Planeta, 1974-</t>
        </is>
      </c>
      <c r="O616" t="inlineStr">
        <is>
          <t>1974</t>
        </is>
      </c>
      <c r="P616" t="inlineStr">
        <is>
          <t>4a ed.</t>
        </is>
      </c>
      <c r="Q616" t="inlineStr">
        <is>
          <t>spa</t>
        </is>
      </c>
      <c r="R616" t="inlineStr">
        <is>
          <t xml:space="preserve">sp </t>
        </is>
      </c>
      <c r="S616" t="inlineStr">
        <is>
          <t>Clásicos Planeta</t>
        </is>
      </c>
      <c r="T616" t="inlineStr">
        <is>
          <t xml:space="preserve">PQ </t>
        </is>
      </c>
      <c r="U616" t="n">
        <v>2</v>
      </c>
      <c r="V616" t="n">
        <v>2</v>
      </c>
      <c r="W616" t="inlineStr">
        <is>
          <t>1995-11-06</t>
        </is>
      </c>
      <c r="X616" t="inlineStr">
        <is>
          <t>1995-11-06</t>
        </is>
      </c>
      <c r="Y616" t="inlineStr">
        <is>
          <t>1991-06-13</t>
        </is>
      </c>
      <c r="Z616" t="inlineStr">
        <is>
          <t>1991-06-13</t>
        </is>
      </c>
      <c r="AA616" t="n">
        <v>2</v>
      </c>
      <c r="AB616" t="n">
        <v>1</v>
      </c>
      <c r="AC616" t="n">
        <v>44</v>
      </c>
      <c r="AD616" t="n">
        <v>1</v>
      </c>
      <c r="AE616" t="n">
        <v>1</v>
      </c>
      <c r="AF616" t="n">
        <v>0</v>
      </c>
      <c r="AG616" t="n">
        <v>2</v>
      </c>
      <c r="AH616" t="n">
        <v>0</v>
      </c>
      <c r="AI616" t="n">
        <v>1</v>
      </c>
      <c r="AJ616" t="n">
        <v>0</v>
      </c>
      <c r="AK616" t="n">
        <v>0</v>
      </c>
      <c r="AL616" t="n">
        <v>0</v>
      </c>
      <c r="AM616" t="n">
        <v>1</v>
      </c>
      <c r="AN616" t="n">
        <v>0</v>
      </c>
      <c r="AO616" t="n">
        <v>0</v>
      </c>
      <c r="AP616" t="n">
        <v>0</v>
      </c>
      <c r="AQ616" t="n">
        <v>0</v>
      </c>
      <c r="AR616" t="inlineStr">
        <is>
          <t>No</t>
        </is>
      </c>
      <c r="AS616" t="inlineStr">
        <is>
          <t>No</t>
        </is>
      </c>
      <c r="AU616">
        <f>HYPERLINK("https://creighton-primo.hosted.exlibrisgroup.com/primo-explore/search?tab=default_tab&amp;search_scope=EVERYTHING&amp;vid=01CRU&amp;lang=en_US&amp;offset=0&amp;query=any,contains,991000099629702656","Catalog Record")</f>
        <v/>
      </c>
      <c r="AV616">
        <f>HYPERLINK("http://www.worldcat.org/oclc/8944033","WorldCat Record")</f>
        <v/>
      </c>
      <c r="AW616" t="inlineStr">
        <is>
          <t>9438475429:spa</t>
        </is>
      </c>
      <c r="AX616" t="inlineStr">
        <is>
          <t>8944033</t>
        </is>
      </c>
      <c r="AY616" t="inlineStr">
        <is>
          <t>991000099629702656</t>
        </is>
      </c>
      <c r="AZ616" t="inlineStr">
        <is>
          <t>991000099629702656</t>
        </is>
      </c>
      <c r="BA616" t="inlineStr">
        <is>
          <t>2259144770002656</t>
        </is>
      </c>
      <c r="BB616" t="inlineStr">
        <is>
          <t>BOOK</t>
        </is>
      </c>
      <c r="BD616" t="inlineStr">
        <is>
          <t>9788432016097</t>
        </is>
      </c>
      <c r="BE616" t="inlineStr">
        <is>
          <t>32285000630227</t>
        </is>
      </c>
      <c r="BF616" t="inlineStr">
        <is>
          <t>893790235</t>
        </is>
      </c>
    </row>
    <row r="617">
      <c r="A617" t="inlineStr">
        <is>
          <t>No</t>
        </is>
      </c>
      <c r="B617" t="inlineStr">
        <is>
          <t>CURAL</t>
        </is>
      </c>
      <c r="C617" t="inlineStr">
        <is>
          <t>SHELVES</t>
        </is>
      </c>
      <c r="D617" t="inlineStr">
        <is>
          <t>PQ6422 .A1 1991</t>
        </is>
      </c>
      <c r="E617" t="inlineStr">
        <is>
          <t>0                      PQ 6422000A  1           1991</t>
        </is>
      </c>
      <c r="F617" t="inlineStr">
        <is>
          <t>La vida del Buscón llamado Don Pablos / Francisco de Quevedo ; edición de Domingo Ynduráin ; texto fijado por Fernando Lázaro Carreter.</t>
        </is>
      </c>
      <c r="H617" t="inlineStr">
        <is>
          <t>No</t>
        </is>
      </c>
      <c r="I617" t="inlineStr">
        <is>
          <t>1</t>
        </is>
      </c>
      <c r="J617" t="inlineStr">
        <is>
          <t>No</t>
        </is>
      </c>
      <c r="K617" t="inlineStr">
        <is>
          <t>No</t>
        </is>
      </c>
      <c r="L617" t="inlineStr">
        <is>
          <t>0</t>
        </is>
      </c>
      <c r="M617" t="inlineStr">
        <is>
          <t>Quevedo, Francisco de, 1580-1645.</t>
        </is>
      </c>
      <c r="N617" t="inlineStr">
        <is>
          <t>Madrid : Cátedra, c1991.</t>
        </is>
      </c>
      <c r="O617" t="inlineStr">
        <is>
          <t>1991</t>
        </is>
      </c>
      <c r="P617" t="inlineStr">
        <is>
          <t>12a ed.</t>
        </is>
      </c>
      <c r="Q617" t="inlineStr">
        <is>
          <t>spa</t>
        </is>
      </c>
      <c r="R617" t="inlineStr">
        <is>
          <t xml:space="preserve">sp </t>
        </is>
      </c>
      <c r="S617" t="inlineStr">
        <is>
          <t>Letras hispánicas ; 124</t>
        </is>
      </c>
      <c r="T617" t="inlineStr">
        <is>
          <t xml:space="preserve">PQ </t>
        </is>
      </c>
      <c r="U617" t="n">
        <v>3</v>
      </c>
      <c r="V617" t="n">
        <v>3</v>
      </c>
      <c r="W617" t="inlineStr">
        <is>
          <t>2003-11-11</t>
        </is>
      </c>
      <c r="X617" t="inlineStr">
        <is>
          <t>2003-11-11</t>
        </is>
      </c>
      <c r="Y617" t="inlineStr">
        <is>
          <t>2001-04-11</t>
        </is>
      </c>
      <c r="Z617" t="inlineStr">
        <is>
          <t>2001-04-11</t>
        </is>
      </c>
      <c r="AA617" t="n">
        <v>4</v>
      </c>
      <c r="AB617" t="n">
        <v>4</v>
      </c>
      <c r="AC617" t="n">
        <v>594</v>
      </c>
      <c r="AD617" t="n">
        <v>1</v>
      </c>
      <c r="AE617" t="n">
        <v>3</v>
      </c>
      <c r="AF617" t="n">
        <v>1</v>
      </c>
      <c r="AG617" t="n">
        <v>19</v>
      </c>
      <c r="AH617" t="n">
        <v>0</v>
      </c>
      <c r="AI617" t="n">
        <v>4</v>
      </c>
      <c r="AJ617" t="n">
        <v>1</v>
      </c>
      <c r="AK617" t="n">
        <v>7</v>
      </c>
      <c r="AL617" t="n">
        <v>0</v>
      </c>
      <c r="AM617" t="n">
        <v>9</v>
      </c>
      <c r="AN617" t="n">
        <v>0</v>
      </c>
      <c r="AO617" t="n">
        <v>2</v>
      </c>
      <c r="AP617" t="n">
        <v>0</v>
      </c>
      <c r="AQ617" t="n">
        <v>0</v>
      </c>
      <c r="AR617" t="inlineStr">
        <is>
          <t>No</t>
        </is>
      </c>
      <c r="AS617" t="inlineStr">
        <is>
          <t>No</t>
        </is>
      </c>
      <c r="AU617">
        <f>HYPERLINK("https://creighton-primo.hosted.exlibrisgroup.com/primo-explore/search?tab=default_tab&amp;search_scope=EVERYTHING&amp;vid=01CRU&amp;lang=en_US&amp;offset=0&amp;query=any,contains,991003484259702656","Catalog Record")</f>
        <v/>
      </c>
      <c r="AV617">
        <f>HYPERLINK("http://www.worldcat.org/oclc/26338452","WorldCat Record")</f>
        <v/>
      </c>
      <c r="AW617" t="inlineStr">
        <is>
          <t>4915988668:spa</t>
        </is>
      </c>
      <c r="AX617" t="inlineStr">
        <is>
          <t>26338452</t>
        </is>
      </c>
      <c r="AY617" t="inlineStr">
        <is>
          <t>991003484259702656</t>
        </is>
      </c>
      <c r="AZ617" t="inlineStr">
        <is>
          <t>991003484259702656</t>
        </is>
      </c>
      <c r="BA617" t="inlineStr">
        <is>
          <t>2262759520002656</t>
        </is>
      </c>
      <c r="BB617" t="inlineStr">
        <is>
          <t>BOOK</t>
        </is>
      </c>
      <c r="BD617" t="inlineStr">
        <is>
          <t>9788437602370</t>
        </is>
      </c>
      <c r="BE617" t="inlineStr">
        <is>
          <t>32285004311964</t>
        </is>
      </c>
      <c r="BF617" t="inlineStr">
        <is>
          <t>893505625</t>
        </is>
      </c>
    </row>
    <row r="618">
      <c r="A618" t="inlineStr">
        <is>
          <t>No</t>
        </is>
      </c>
      <c r="B618" t="inlineStr">
        <is>
          <t>CURAL</t>
        </is>
      </c>
      <c r="C618" t="inlineStr">
        <is>
          <t>SHELVES</t>
        </is>
      </c>
      <c r="D618" t="inlineStr">
        <is>
          <t>PQ6425.R8 Z68</t>
        </is>
      </c>
      <c r="E618" t="inlineStr">
        <is>
          <t>0                      PQ 6425000R  8                  Z  68</t>
        </is>
      </c>
      <c r="F618" t="inlineStr">
        <is>
          <t>Juan Rodríguez de la Cámara / by Martin S. Gilderman.</t>
        </is>
      </c>
      <c r="H618" t="inlineStr">
        <is>
          <t>No</t>
        </is>
      </c>
      <c r="I618" t="inlineStr">
        <is>
          <t>1</t>
        </is>
      </c>
      <c r="J618" t="inlineStr">
        <is>
          <t>No</t>
        </is>
      </c>
      <c r="K618" t="inlineStr">
        <is>
          <t>No</t>
        </is>
      </c>
      <c r="L618" t="inlineStr">
        <is>
          <t>0</t>
        </is>
      </c>
      <c r="M618" t="inlineStr">
        <is>
          <t>Gilderman, Martin S.</t>
        </is>
      </c>
      <c r="N618" t="inlineStr">
        <is>
          <t>Boston : Twayne Publishers, c1977.</t>
        </is>
      </c>
      <c r="O618" t="inlineStr">
        <is>
          <t>1977</t>
        </is>
      </c>
      <c r="Q618" t="inlineStr">
        <is>
          <t>eng</t>
        </is>
      </c>
      <c r="R618" t="inlineStr">
        <is>
          <t>mau</t>
        </is>
      </c>
      <c r="S618" t="inlineStr">
        <is>
          <t>Twayne's world authors series ; TWAS 423 ; Spain</t>
        </is>
      </c>
      <c r="T618" t="inlineStr">
        <is>
          <t xml:space="preserve">PQ </t>
        </is>
      </c>
      <c r="U618" t="n">
        <v>2</v>
      </c>
      <c r="V618" t="n">
        <v>2</v>
      </c>
      <c r="W618" t="inlineStr">
        <is>
          <t>2000-10-13</t>
        </is>
      </c>
      <c r="X618" t="inlineStr">
        <is>
          <t>2000-10-13</t>
        </is>
      </c>
      <c r="Y618" t="inlineStr">
        <is>
          <t>1991-06-13</t>
        </is>
      </c>
      <c r="Z618" t="inlineStr">
        <is>
          <t>1991-06-13</t>
        </is>
      </c>
      <c r="AA618" t="n">
        <v>461</v>
      </c>
      <c r="AB618" t="n">
        <v>417</v>
      </c>
      <c r="AC618" t="n">
        <v>424</v>
      </c>
      <c r="AD618" t="n">
        <v>4</v>
      </c>
      <c r="AE618" t="n">
        <v>4</v>
      </c>
      <c r="AF618" t="n">
        <v>24</v>
      </c>
      <c r="AG618" t="n">
        <v>24</v>
      </c>
      <c r="AH618" t="n">
        <v>10</v>
      </c>
      <c r="AI618" t="n">
        <v>10</v>
      </c>
      <c r="AJ618" t="n">
        <v>5</v>
      </c>
      <c r="AK618" t="n">
        <v>5</v>
      </c>
      <c r="AL618" t="n">
        <v>14</v>
      </c>
      <c r="AM618" t="n">
        <v>14</v>
      </c>
      <c r="AN618" t="n">
        <v>3</v>
      </c>
      <c r="AO618" t="n">
        <v>3</v>
      </c>
      <c r="AP618" t="n">
        <v>0</v>
      </c>
      <c r="AQ618" t="n">
        <v>0</v>
      </c>
      <c r="AR618" t="inlineStr">
        <is>
          <t>No</t>
        </is>
      </c>
      <c r="AS618" t="inlineStr">
        <is>
          <t>Yes</t>
        </is>
      </c>
      <c r="AT618">
        <f>HYPERLINK("http://catalog.hathitrust.org/Record/000738611","HathiTrust Record")</f>
        <v/>
      </c>
      <c r="AU618">
        <f>HYPERLINK("https://creighton-primo.hosted.exlibrisgroup.com/primo-explore/search?tab=default_tab&amp;search_scope=EVERYTHING&amp;vid=01CRU&amp;lang=en_US&amp;offset=0&amp;query=any,contains,991004108709702656","Catalog Record")</f>
        <v/>
      </c>
      <c r="AV618">
        <f>HYPERLINK("http://www.worldcat.org/oclc/2388471","WorldCat Record")</f>
        <v/>
      </c>
      <c r="AW618" t="inlineStr">
        <is>
          <t>4956865:eng</t>
        </is>
      </c>
      <c r="AX618" t="inlineStr">
        <is>
          <t>2388471</t>
        </is>
      </c>
      <c r="AY618" t="inlineStr">
        <is>
          <t>991004108709702656</t>
        </is>
      </c>
      <c r="AZ618" t="inlineStr">
        <is>
          <t>991004108709702656</t>
        </is>
      </c>
      <c r="BA618" t="inlineStr">
        <is>
          <t>2259323800002656</t>
        </is>
      </c>
      <c r="BB618" t="inlineStr">
        <is>
          <t>BOOK</t>
        </is>
      </c>
      <c r="BD618" t="inlineStr">
        <is>
          <t>9780805761955</t>
        </is>
      </c>
      <c r="BE618" t="inlineStr">
        <is>
          <t>32285000630284</t>
        </is>
      </c>
      <c r="BF618" t="inlineStr">
        <is>
          <t>893263098</t>
        </is>
      </c>
    </row>
    <row r="619">
      <c r="A619" t="inlineStr">
        <is>
          <t>No</t>
        </is>
      </c>
      <c r="B619" t="inlineStr">
        <is>
          <t>CURAL</t>
        </is>
      </c>
      <c r="C619" t="inlineStr">
        <is>
          <t>SHELVES</t>
        </is>
      </c>
      <c r="D619" t="inlineStr">
        <is>
          <t>PQ6428 .G5</t>
        </is>
      </c>
      <c r="E619" t="inlineStr">
        <is>
          <t>0                      PQ 6428000G  5</t>
        </is>
      </c>
      <c r="F619" t="inlineStr">
        <is>
          <t>The art of La Celestina.</t>
        </is>
      </c>
      <c r="H619" t="inlineStr">
        <is>
          <t>No</t>
        </is>
      </c>
      <c r="I619" t="inlineStr">
        <is>
          <t>1</t>
        </is>
      </c>
      <c r="J619" t="inlineStr">
        <is>
          <t>No</t>
        </is>
      </c>
      <c r="K619" t="inlineStr">
        <is>
          <t>No</t>
        </is>
      </c>
      <c r="L619" t="inlineStr">
        <is>
          <t>0</t>
        </is>
      </c>
      <c r="M619" t="inlineStr">
        <is>
          <t>Gilman, Stephen.</t>
        </is>
      </c>
      <c r="N619" t="inlineStr">
        <is>
          <t>Madison, University of Wisconsin Press, 1956.</t>
        </is>
      </c>
      <c r="O619" t="inlineStr">
        <is>
          <t>1956</t>
        </is>
      </c>
      <c r="Q619" t="inlineStr">
        <is>
          <t>eng</t>
        </is>
      </c>
      <c r="R619" t="inlineStr">
        <is>
          <t>wiu</t>
        </is>
      </c>
      <c r="T619" t="inlineStr">
        <is>
          <t xml:space="preserve">PQ </t>
        </is>
      </c>
      <c r="U619" t="n">
        <v>1</v>
      </c>
      <c r="V619" t="n">
        <v>1</v>
      </c>
      <c r="W619" t="inlineStr">
        <is>
          <t>2004-03-15</t>
        </is>
      </c>
      <c r="X619" t="inlineStr">
        <is>
          <t>2004-03-15</t>
        </is>
      </c>
      <c r="Y619" t="inlineStr">
        <is>
          <t>1997-07-15</t>
        </is>
      </c>
      <c r="Z619" t="inlineStr">
        <is>
          <t>1997-07-15</t>
        </is>
      </c>
      <c r="AA619" t="n">
        <v>417</v>
      </c>
      <c r="AB619" t="n">
        <v>383</v>
      </c>
      <c r="AC619" t="n">
        <v>497</v>
      </c>
      <c r="AD619" t="n">
        <v>4</v>
      </c>
      <c r="AE619" t="n">
        <v>5</v>
      </c>
      <c r="AF619" t="n">
        <v>27</v>
      </c>
      <c r="AG619" t="n">
        <v>32</v>
      </c>
      <c r="AH619" t="n">
        <v>10</v>
      </c>
      <c r="AI619" t="n">
        <v>12</v>
      </c>
      <c r="AJ619" t="n">
        <v>5</v>
      </c>
      <c r="AK619" t="n">
        <v>7</v>
      </c>
      <c r="AL619" t="n">
        <v>17</v>
      </c>
      <c r="AM619" t="n">
        <v>18</v>
      </c>
      <c r="AN619" t="n">
        <v>3</v>
      </c>
      <c r="AO619" t="n">
        <v>4</v>
      </c>
      <c r="AP619" t="n">
        <v>0</v>
      </c>
      <c r="AQ619" t="n">
        <v>0</v>
      </c>
      <c r="AR619" t="inlineStr">
        <is>
          <t>No</t>
        </is>
      </c>
      <c r="AS619" t="inlineStr">
        <is>
          <t>Yes</t>
        </is>
      </c>
      <c r="AT619">
        <f>HYPERLINK("http://catalog.hathitrust.org/Record/001110782","HathiTrust Record")</f>
        <v/>
      </c>
      <c r="AU619">
        <f>HYPERLINK("https://creighton-primo.hosted.exlibrisgroup.com/primo-explore/search?tab=default_tab&amp;search_scope=EVERYTHING&amp;vid=01CRU&amp;lang=en_US&amp;offset=0&amp;query=any,contains,991002428319702656","Catalog Record")</f>
        <v/>
      </c>
      <c r="AV619">
        <f>HYPERLINK("http://www.worldcat.org/oclc/345720","WorldCat Record")</f>
        <v/>
      </c>
      <c r="AW619" t="inlineStr">
        <is>
          <t>3901306335:eng</t>
        </is>
      </c>
      <c r="AX619" t="inlineStr">
        <is>
          <t>345720</t>
        </is>
      </c>
      <c r="AY619" t="inlineStr">
        <is>
          <t>991002428319702656</t>
        </is>
      </c>
      <c r="AZ619" t="inlineStr">
        <is>
          <t>991002428319702656</t>
        </is>
      </c>
      <c r="BA619" t="inlineStr">
        <is>
          <t>2272084320002656</t>
        </is>
      </c>
      <c r="BB619" t="inlineStr">
        <is>
          <t>BOOK</t>
        </is>
      </c>
      <c r="BE619" t="inlineStr">
        <is>
          <t>32285002519691</t>
        </is>
      </c>
      <c r="BF619" t="inlineStr">
        <is>
          <t>893779798</t>
        </is>
      </c>
    </row>
    <row r="620">
      <c r="A620" t="inlineStr">
        <is>
          <t>No</t>
        </is>
      </c>
      <c r="B620" t="inlineStr">
        <is>
          <t>CURAL</t>
        </is>
      </c>
      <c r="C620" t="inlineStr">
        <is>
          <t>SHELVES</t>
        </is>
      </c>
      <c r="D620" t="inlineStr">
        <is>
          <t>PQ6428 .G52</t>
        </is>
      </c>
      <c r="E620" t="inlineStr">
        <is>
          <t>0                      PQ 6428000G  52</t>
        </is>
      </c>
      <c r="F620" t="inlineStr">
        <is>
          <t>La Celestina : arte y estructura / Stephen Gilman ; versión española de Margit Frenk de Alatorre.</t>
        </is>
      </c>
      <c r="H620" t="inlineStr">
        <is>
          <t>No</t>
        </is>
      </c>
      <c r="I620" t="inlineStr">
        <is>
          <t>1</t>
        </is>
      </c>
      <c r="J620" t="inlineStr">
        <is>
          <t>No</t>
        </is>
      </c>
      <c r="K620" t="inlineStr">
        <is>
          <t>No</t>
        </is>
      </c>
      <c r="L620" t="inlineStr">
        <is>
          <t>0</t>
        </is>
      </c>
      <c r="M620" t="inlineStr">
        <is>
          <t>Gilman, Stephen.</t>
        </is>
      </c>
      <c r="N620" t="inlineStr">
        <is>
          <t>Madrid : Taurus, 1974.</t>
        </is>
      </c>
      <c r="O620" t="inlineStr">
        <is>
          <t>1974</t>
        </is>
      </c>
      <c r="Q620" t="inlineStr">
        <is>
          <t>spa</t>
        </is>
      </c>
      <c r="R620" t="inlineStr">
        <is>
          <t xml:space="preserve">sp </t>
        </is>
      </c>
      <c r="S620" t="inlineStr">
        <is>
          <t>Persiles ; 7l</t>
        </is>
      </c>
      <c r="T620" t="inlineStr">
        <is>
          <t xml:space="preserve">PQ </t>
        </is>
      </c>
      <c r="U620" t="n">
        <v>5</v>
      </c>
      <c r="V620" t="n">
        <v>5</v>
      </c>
      <c r="W620" t="inlineStr">
        <is>
          <t>2004-12-01</t>
        </is>
      </c>
      <c r="X620" t="inlineStr">
        <is>
          <t>2004-12-01</t>
        </is>
      </c>
      <c r="Y620" t="inlineStr">
        <is>
          <t>1996-10-02</t>
        </is>
      </c>
      <c r="Z620" t="inlineStr">
        <is>
          <t>1996-10-02</t>
        </is>
      </c>
      <c r="AA620" t="n">
        <v>312</v>
      </c>
      <c r="AB620" t="n">
        <v>263</v>
      </c>
      <c r="AC620" t="n">
        <v>284</v>
      </c>
      <c r="AD620" t="n">
        <v>1</v>
      </c>
      <c r="AE620" t="n">
        <v>2</v>
      </c>
      <c r="AF620" t="n">
        <v>14</v>
      </c>
      <c r="AG620" t="n">
        <v>16</v>
      </c>
      <c r="AH620" t="n">
        <v>2</v>
      </c>
      <c r="AI620" t="n">
        <v>2</v>
      </c>
      <c r="AJ620" t="n">
        <v>6</v>
      </c>
      <c r="AK620" t="n">
        <v>6</v>
      </c>
      <c r="AL620" t="n">
        <v>9</v>
      </c>
      <c r="AM620" t="n">
        <v>10</v>
      </c>
      <c r="AN620" t="n">
        <v>0</v>
      </c>
      <c r="AO620" t="n">
        <v>1</v>
      </c>
      <c r="AP620" t="n">
        <v>0</v>
      </c>
      <c r="AQ620" t="n">
        <v>0</v>
      </c>
      <c r="AR620" t="inlineStr">
        <is>
          <t>No</t>
        </is>
      </c>
      <c r="AS620" t="inlineStr">
        <is>
          <t>No</t>
        </is>
      </c>
      <c r="AU620">
        <f>HYPERLINK("https://creighton-primo.hosted.exlibrisgroup.com/primo-explore/search?tab=default_tab&amp;search_scope=EVERYTHING&amp;vid=01CRU&amp;lang=en_US&amp;offset=0&amp;query=any,contains,991003614089702656","Catalog Record")</f>
        <v/>
      </c>
      <c r="AV620">
        <f>HYPERLINK("http://www.worldcat.org/oclc/1196676","WorldCat Record")</f>
        <v/>
      </c>
      <c r="AW620" t="inlineStr">
        <is>
          <t>3901306335:spa</t>
        </is>
      </c>
      <c r="AX620" t="inlineStr">
        <is>
          <t>1196676</t>
        </is>
      </c>
      <c r="AY620" t="inlineStr">
        <is>
          <t>991003614089702656</t>
        </is>
      </c>
      <c r="AZ620" t="inlineStr">
        <is>
          <t>991003614089702656</t>
        </is>
      </c>
      <c r="BA620" t="inlineStr">
        <is>
          <t>2261740970002656</t>
        </is>
      </c>
      <c r="BB620" t="inlineStr">
        <is>
          <t>BOOK</t>
        </is>
      </c>
      <c r="BD620" t="inlineStr">
        <is>
          <t>9788430620715</t>
        </is>
      </c>
      <c r="BE620" t="inlineStr">
        <is>
          <t>32285002322237</t>
        </is>
      </c>
      <c r="BF620" t="inlineStr">
        <is>
          <t>893793816</t>
        </is>
      </c>
    </row>
    <row r="621">
      <c r="A621" t="inlineStr">
        <is>
          <t>No</t>
        </is>
      </c>
      <c r="B621" t="inlineStr">
        <is>
          <t>CURAL</t>
        </is>
      </c>
      <c r="C621" t="inlineStr">
        <is>
          <t>SHELVES</t>
        </is>
      </c>
      <c r="D621" t="inlineStr">
        <is>
          <t>PQ6428 .L5 1962</t>
        </is>
      </c>
      <c r="E621" t="inlineStr">
        <is>
          <t>0                      PQ 6428000L  5           1962</t>
        </is>
      </c>
      <c r="F621" t="inlineStr">
        <is>
          <t>La originalidad artística de La celestina.</t>
        </is>
      </c>
      <c r="H621" t="inlineStr">
        <is>
          <t>No</t>
        </is>
      </c>
      <c r="I621" t="inlineStr">
        <is>
          <t>1</t>
        </is>
      </c>
      <c r="J621" t="inlineStr">
        <is>
          <t>No</t>
        </is>
      </c>
      <c r="K621" t="inlineStr">
        <is>
          <t>Yes</t>
        </is>
      </c>
      <c r="L621" t="inlineStr">
        <is>
          <t>0</t>
        </is>
      </c>
      <c r="M621" t="inlineStr">
        <is>
          <t>Lida de Malkiel, María Rosa.</t>
        </is>
      </c>
      <c r="N621" t="inlineStr">
        <is>
          <t>Buenos Aires, Editorial Universitaria de Buenos Aires [1962]</t>
        </is>
      </c>
      <c r="O621" t="inlineStr">
        <is>
          <t>1962</t>
        </is>
      </c>
      <c r="Q621" t="inlineStr">
        <is>
          <t>spa</t>
        </is>
      </c>
      <c r="R621" t="inlineStr">
        <is>
          <t xml:space="preserve">ag </t>
        </is>
      </c>
      <c r="S621" t="inlineStr">
        <is>
          <t>Teoría e investigación</t>
        </is>
      </c>
      <c r="T621" t="inlineStr">
        <is>
          <t xml:space="preserve">PQ </t>
        </is>
      </c>
      <c r="U621" t="n">
        <v>1</v>
      </c>
      <c r="V621" t="n">
        <v>1</v>
      </c>
      <c r="W621" t="inlineStr">
        <is>
          <t>2001-10-01</t>
        </is>
      </c>
      <c r="X621" t="inlineStr">
        <is>
          <t>2001-10-01</t>
        </is>
      </c>
      <c r="Y621" t="inlineStr">
        <is>
          <t>1997-07-15</t>
        </is>
      </c>
      <c r="Z621" t="inlineStr">
        <is>
          <t>1997-07-15</t>
        </is>
      </c>
      <c r="AA621" t="n">
        <v>309</v>
      </c>
      <c r="AB621" t="n">
        <v>268</v>
      </c>
      <c r="AC621" t="n">
        <v>405</v>
      </c>
      <c r="AD621" t="n">
        <v>2</v>
      </c>
      <c r="AE621" t="n">
        <v>2</v>
      </c>
      <c r="AF621" t="n">
        <v>11</v>
      </c>
      <c r="AG621" t="n">
        <v>21</v>
      </c>
      <c r="AH621" t="n">
        <v>2</v>
      </c>
      <c r="AI621" t="n">
        <v>7</v>
      </c>
      <c r="AJ621" t="n">
        <v>3</v>
      </c>
      <c r="AK621" t="n">
        <v>7</v>
      </c>
      <c r="AL621" t="n">
        <v>9</v>
      </c>
      <c r="AM621" t="n">
        <v>13</v>
      </c>
      <c r="AN621" t="n">
        <v>1</v>
      </c>
      <c r="AO621" t="n">
        <v>1</v>
      </c>
      <c r="AP621" t="n">
        <v>0</v>
      </c>
      <c r="AQ621" t="n">
        <v>0</v>
      </c>
      <c r="AR621" t="inlineStr">
        <is>
          <t>No</t>
        </is>
      </c>
      <c r="AS621" t="inlineStr">
        <is>
          <t>Yes</t>
        </is>
      </c>
      <c r="AT621">
        <f>HYPERLINK("http://catalog.hathitrust.org/Record/001368932","HathiTrust Record")</f>
        <v/>
      </c>
      <c r="AU621">
        <f>HYPERLINK("https://creighton-primo.hosted.exlibrisgroup.com/primo-explore/search?tab=default_tab&amp;search_scope=EVERYTHING&amp;vid=01CRU&amp;lang=en_US&amp;offset=0&amp;query=any,contains,991003942049702656","Catalog Record")</f>
        <v/>
      </c>
      <c r="AV621">
        <f>HYPERLINK("http://www.worldcat.org/oclc/1934543","WorldCat Record")</f>
        <v/>
      </c>
      <c r="AW621" t="inlineStr">
        <is>
          <t>365436980:spa</t>
        </is>
      </c>
      <c r="AX621" t="inlineStr">
        <is>
          <t>1934543</t>
        </is>
      </c>
      <c r="AY621" t="inlineStr">
        <is>
          <t>991003942049702656</t>
        </is>
      </c>
      <c r="AZ621" t="inlineStr">
        <is>
          <t>991003942049702656</t>
        </is>
      </c>
      <c r="BA621" t="inlineStr">
        <is>
          <t>2262158930002656</t>
        </is>
      </c>
      <c r="BB621" t="inlineStr">
        <is>
          <t>BOOK</t>
        </is>
      </c>
      <c r="BE621" t="inlineStr">
        <is>
          <t>32285002519709</t>
        </is>
      </c>
      <c r="BF621" t="inlineStr">
        <is>
          <t>893519070</t>
        </is>
      </c>
    </row>
    <row r="622">
      <c r="A622" t="inlineStr">
        <is>
          <t>No</t>
        </is>
      </c>
      <c r="B622" t="inlineStr">
        <is>
          <t>CURAL</t>
        </is>
      </c>
      <c r="C622" t="inlineStr">
        <is>
          <t>SHELVES</t>
        </is>
      </c>
      <c r="D622" t="inlineStr">
        <is>
          <t>PQ6428 .L5 1970b</t>
        </is>
      </c>
      <c r="E622" t="inlineStr">
        <is>
          <t>0                      PQ 6428000L  5           1970b</t>
        </is>
      </c>
      <c r="F622" t="inlineStr">
        <is>
          <t>La originalidad artística de La celestina.</t>
        </is>
      </c>
      <c r="H622" t="inlineStr">
        <is>
          <t>No</t>
        </is>
      </c>
      <c r="I622" t="inlineStr">
        <is>
          <t>1</t>
        </is>
      </c>
      <c r="J622" t="inlineStr">
        <is>
          <t>No</t>
        </is>
      </c>
      <c r="K622" t="inlineStr">
        <is>
          <t>Yes</t>
        </is>
      </c>
      <c r="L622" t="inlineStr">
        <is>
          <t>0</t>
        </is>
      </c>
      <c r="M622" t="inlineStr">
        <is>
          <t>Lida de Malkiel, María Rosa.</t>
        </is>
      </c>
      <c r="N622" t="inlineStr">
        <is>
          <t>Buenos Aires] Editorial Universitaria de Buenos Aires [1970]</t>
        </is>
      </c>
      <c r="O622" t="inlineStr">
        <is>
          <t>1970</t>
        </is>
      </c>
      <c r="P622" t="inlineStr">
        <is>
          <t>[2. ed</t>
        </is>
      </c>
      <c r="Q622" t="inlineStr">
        <is>
          <t>spa</t>
        </is>
      </c>
      <c r="R622" t="inlineStr">
        <is>
          <t xml:space="preserve">xx </t>
        </is>
      </c>
      <c r="S622" t="inlineStr">
        <is>
          <t>Teoría e investigación</t>
        </is>
      </c>
      <c r="T622" t="inlineStr">
        <is>
          <t xml:space="preserve">PQ </t>
        </is>
      </c>
      <c r="U622" t="n">
        <v>2</v>
      </c>
      <c r="V622" t="n">
        <v>2</v>
      </c>
      <c r="W622" t="inlineStr">
        <is>
          <t>2004-03-18</t>
        </is>
      </c>
      <c r="X622" t="inlineStr">
        <is>
          <t>2004-03-18</t>
        </is>
      </c>
      <c r="Y622" t="inlineStr">
        <is>
          <t>1997-07-15</t>
        </is>
      </c>
      <c r="Z622" t="inlineStr">
        <is>
          <t>1997-07-15</t>
        </is>
      </c>
      <c r="AA622" t="n">
        <v>197</v>
      </c>
      <c r="AB622" t="n">
        <v>174</v>
      </c>
      <c r="AC622" t="n">
        <v>405</v>
      </c>
      <c r="AD622" t="n">
        <v>1</v>
      </c>
      <c r="AE622" t="n">
        <v>2</v>
      </c>
      <c r="AF622" t="n">
        <v>10</v>
      </c>
      <c r="AG622" t="n">
        <v>21</v>
      </c>
      <c r="AH622" t="n">
        <v>5</v>
      </c>
      <c r="AI622" t="n">
        <v>7</v>
      </c>
      <c r="AJ622" t="n">
        <v>4</v>
      </c>
      <c r="AK622" t="n">
        <v>7</v>
      </c>
      <c r="AL622" t="n">
        <v>4</v>
      </c>
      <c r="AM622" t="n">
        <v>13</v>
      </c>
      <c r="AN622" t="n">
        <v>0</v>
      </c>
      <c r="AO622" t="n">
        <v>1</v>
      </c>
      <c r="AP622" t="n">
        <v>0</v>
      </c>
      <c r="AQ622" t="n">
        <v>0</v>
      </c>
      <c r="AR622" t="inlineStr">
        <is>
          <t>No</t>
        </is>
      </c>
      <c r="AS622" t="inlineStr">
        <is>
          <t>No</t>
        </is>
      </c>
      <c r="AU622">
        <f>HYPERLINK("https://creighton-primo.hosted.exlibrisgroup.com/primo-explore/search?tab=default_tab&amp;search_scope=EVERYTHING&amp;vid=01CRU&amp;lang=en_US&amp;offset=0&amp;query=any,contains,991002270319702656","Catalog Record")</f>
        <v/>
      </c>
      <c r="AV622">
        <f>HYPERLINK("http://www.worldcat.org/oclc/308046","WorldCat Record")</f>
        <v/>
      </c>
      <c r="AW622" t="inlineStr">
        <is>
          <t>365436980:spa</t>
        </is>
      </c>
      <c r="AX622" t="inlineStr">
        <is>
          <t>308046</t>
        </is>
      </c>
      <c r="AY622" t="inlineStr">
        <is>
          <t>991002270319702656</t>
        </is>
      </c>
      <c r="AZ622" t="inlineStr">
        <is>
          <t>991002270319702656</t>
        </is>
      </c>
      <c r="BA622" t="inlineStr">
        <is>
          <t>2266308180002656</t>
        </is>
      </c>
      <c r="BB622" t="inlineStr">
        <is>
          <t>BOOK</t>
        </is>
      </c>
      <c r="BE622" t="inlineStr">
        <is>
          <t>32285002519717</t>
        </is>
      </c>
      <c r="BF622" t="inlineStr">
        <is>
          <t>893773412</t>
        </is>
      </c>
    </row>
    <row r="623">
      <c r="A623" t="inlineStr">
        <is>
          <t>No</t>
        </is>
      </c>
      <c r="B623" t="inlineStr">
        <is>
          <t>CURAL</t>
        </is>
      </c>
      <c r="C623" t="inlineStr">
        <is>
          <t>SHELVES</t>
        </is>
      </c>
      <c r="D623" t="inlineStr">
        <is>
          <t>PQ6428 .S3 1965</t>
        </is>
      </c>
      <c r="E623" t="inlineStr">
        <is>
          <t>0                      PQ 6428000S  3           1965</t>
        </is>
      </c>
      <c r="F623" t="inlineStr">
        <is>
          <t>A theological interpretation of La Celestina / by Nicholas E. Schiel.</t>
        </is>
      </c>
      <c r="H623" t="inlineStr">
        <is>
          <t>No</t>
        </is>
      </c>
      <c r="I623" t="inlineStr">
        <is>
          <t>1</t>
        </is>
      </c>
      <c r="J623" t="inlineStr">
        <is>
          <t>No</t>
        </is>
      </c>
      <c r="K623" t="inlineStr">
        <is>
          <t>No</t>
        </is>
      </c>
      <c r="L623" t="inlineStr">
        <is>
          <t>0</t>
        </is>
      </c>
      <c r="M623" t="inlineStr">
        <is>
          <t>Schiel, Nicholas Edward, 1924-</t>
        </is>
      </c>
      <c r="N623" t="inlineStr">
        <is>
          <t>[s.l.] : [s.n.], 1965.</t>
        </is>
      </c>
      <c r="O623" t="inlineStr">
        <is>
          <t>1977</t>
        </is>
      </c>
      <c r="Q623" t="inlineStr">
        <is>
          <t>eng</t>
        </is>
      </c>
      <c r="R623" t="inlineStr">
        <is>
          <t>miu</t>
        </is>
      </c>
      <c r="T623" t="inlineStr">
        <is>
          <t xml:space="preserve">PQ </t>
        </is>
      </c>
      <c r="U623" t="n">
        <v>0</v>
      </c>
      <c r="V623" t="n">
        <v>0</v>
      </c>
      <c r="W623" t="inlineStr">
        <is>
          <t>2001-09-17</t>
        </is>
      </c>
      <c r="X623" t="inlineStr">
        <is>
          <t>2001-09-17</t>
        </is>
      </c>
      <c r="Y623" t="inlineStr">
        <is>
          <t>1998-01-30</t>
        </is>
      </c>
      <c r="Z623" t="inlineStr">
        <is>
          <t>1998-01-30</t>
        </is>
      </c>
      <c r="AA623" t="n">
        <v>3</v>
      </c>
      <c r="AB623" t="n">
        <v>2</v>
      </c>
      <c r="AC623" t="n">
        <v>2</v>
      </c>
      <c r="AD623" t="n">
        <v>1</v>
      </c>
      <c r="AE623" t="n">
        <v>1</v>
      </c>
      <c r="AF623" t="n">
        <v>0</v>
      </c>
      <c r="AG623" t="n">
        <v>0</v>
      </c>
      <c r="AH623" t="n">
        <v>0</v>
      </c>
      <c r="AI623" t="n">
        <v>0</v>
      </c>
      <c r="AJ623" t="n">
        <v>0</v>
      </c>
      <c r="AK623" t="n">
        <v>0</v>
      </c>
      <c r="AL623" t="n">
        <v>0</v>
      </c>
      <c r="AM623" t="n">
        <v>0</v>
      </c>
      <c r="AN623" t="n">
        <v>0</v>
      </c>
      <c r="AO623" t="n">
        <v>0</v>
      </c>
      <c r="AP623" t="n">
        <v>0</v>
      </c>
      <c r="AQ623" t="n">
        <v>0</v>
      </c>
      <c r="AR623" t="inlineStr">
        <is>
          <t>No</t>
        </is>
      </c>
      <c r="AS623" t="inlineStr">
        <is>
          <t>No</t>
        </is>
      </c>
      <c r="AU623">
        <f>HYPERLINK("https://creighton-primo.hosted.exlibrisgroup.com/primo-explore/search?tab=default_tab&amp;search_scope=EVERYTHING&amp;vid=01CRU&amp;lang=en_US&amp;offset=0&amp;query=any,contains,991004356769702656","Catalog Record")</f>
        <v/>
      </c>
      <c r="AV623">
        <f>HYPERLINK("http://www.worldcat.org/oclc/3143561","WorldCat Record")</f>
        <v/>
      </c>
      <c r="AW623" t="inlineStr">
        <is>
          <t>8896823:eng</t>
        </is>
      </c>
      <c r="AX623" t="inlineStr">
        <is>
          <t>3143561</t>
        </is>
      </c>
      <c r="AY623" t="inlineStr">
        <is>
          <t>991004356769702656</t>
        </is>
      </c>
      <c r="AZ623" t="inlineStr">
        <is>
          <t>991004356769702656</t>
        </is>
      </c>
      <c r="BA623" t="inlineStr">
        <is>
          <t>2257664510002656</t>
        </is>
      </c>
      <c r="BB623" t="inlineStr">
        <is>
          <t>BOOK</t>
        </is>
      </c>
      <c r="BE623" t="inlineStr">
        <is>
          <t>32285003337135</t>
        </is>
      </c>
      <c r="BF623" t="inlineStr">
        <is>
          <t>893712489</t>
        </is>
      </c>
    </row>
    <row r="624">
      <c r="A624" t="inlineStr">
        <is>
          <t>No</t>
        </is>
      </c>
      <c r="B624" t="inlineStr">
        <is>
          <t>CURAL</t>
        </is>
      </c>
      <c r="C624" t="inlineStr">
        <is>
          <t>SHELVES</t>
        </is>
      </c>
      <c r="D624" t="inlineStr">
        <is>
          <t>PQ6428 .S56 1985</t>
        </is>
      </c>
      <c r="E624" t="inlineStr">
        <is>
          <t>0                      PQ 6428000S  56          1985</t>
        </is>
      </c>
      <c r="F624" t="inlineStr">
        <is>
          <t>Celestina by Fernando de Rojas : an annotated bibliography of world interest, 1930-1985 / Joseph T. Snow.</t>
        </is>
      </c>
      <c r="H624" t="inlineStr">
        <is>
          <t>No</t>
        </is>
      </c>
      <c r="I624" t="inlineStr">
        <is>
          <t>1</t>
        </is>
      </c>
      <c r="J624" t="inlineStr">
        <is>
          <t>No</t>
        </is>
      </c>
      <c r="K624" t="inlineStr">
        <is>
          <t>No</t>
        </is>
      </c>
      <c r="L624" t="inlineStr">
        <is>
          <t>0</t>
        </is>
      </c>
      <c r="M624" t="inlineStr">
        <is>
          <t>Snow, Joseph T., 1941-</t>
        </is>
      </c>
      <c r="N624" t="inlineStr">
        <is>
          <t>Madison : Hispanic Seminary of Medieval Studies, 1985.</t>
        </is>
      </c>
      <c r="O624" t="inlineStr">
        <is>
          <t>1985</t>
        </is>
      </c>
      <c r="Q624" t="inlineStr">
        <is>
          <t>eng</t>
        </is>
      </c>
      <c r="R624" t="inlineStr">
        <is>
          <t>nju</t>
        </is>
      </c>
      <c r="S624" t="inlineStr">
        <is>
          <t>Bibliographic series / Hispanic Seminary of Medieval Studies ; no. 6</t>
        </is>
      </c>
      <c r="T624" t="inlineStr">
        <is>
          <t xml:space="preserve">PQ </t>
        </is>
      </c>
      <c r="U624" t="n">
        <v>1</v>
      </c>
      <c r="V624" t="n">
        <v>1</v>
      </c>
      <c r="W624" t="inlineStr">
        <is>
          <t>2005-04-06</t>
        </is>
      </c>
      <c r="X624" t="inlineStr">
        <is>
          <t>2005-04-06</t>
        </is>
      </c>
      <c r="Y624" t="inlineStr">
        <is>
          <t>2005-04-06</t>
        </is>
      </c>
      <c r="Z624" t="inlineStr">
        <is>
          <t>2005-04-06</t>
        </is>
      </c>
      <c r="AA624" t="n">
        <v>162</v>
      </c>
      <c r="AB624" t="n">
        <v>124</v>
      </c>
      <c r="AC624" t="n">
        <v>131</v>
      </c>
      <c r="AD624" t="n">
        <v>2</v>
      </c>
      <c r="AE624" t="n">
        <v>2</v>
      </c>
      <c r="AF624" t="n">
        <v>7</v>
      </c>
      <c r="AG624" t="n">
        <v>7</v>
      </c>
      <c r="AH624" t="n">
        <v>1</v>
      </c>
      <c r="AI624" t="n">
        <v>1</v>
      </c>
      <c r="AJ624" t="n">
        <v>3</v>
      </c>
      <c r="AK624" t="n">
        <v>3</v>
      </c>
      <c r="AL624" t="n">
        <v>5</v>
      </c>
      <c r="AM624" t="n">
        <v>5</v>
      </c>
      <c r="AN624" t="n">
        <v>1</v>
      </c>
      <c r="AO624" t="n">
        <v>1</v>
      </c>
      <c r="AP624" t="n">
        <v>0</v>
      </c>
      <c r="AQ624" t="n">
        <v>0</v>
      </c>
      <c r="AR624" t="inlineStr">
        <is>
          <t>No</t>
        </is>
      </c>
      <c r="AS624" t="inlineStr">
        <is>
          <t>Yes</t>
        </is>
      </c>
      <c r="AT624">
        <f>HYPERLINK("http://catalog.hathitrust.org/Record/000859953","HathiTrust Record")</f>
        <v/>
      </c>
      <c r="AU624">
        <f>HYPERLINK("https://creighton-primo.hosted.exlibrisgroup.com/primo-explore/search?tab=default_tab&amp;search_scope=EVERYTHING&amp;vid=01CRU&amp;lang=en_US&amp;offset=0&amp;query=any,contains,991004522839702656","Catalog Record")</f>
        <v/>
      </c>
      <c r="AV624">
        <f>HYPERLINK("http://www.worldcat.org/oclc/12790492","WorldCat Record")</f>
        <v/>
      </c>
      <c r="AW624" t="inlineStr">
        <is>
          <t>198284443:eng</t>
        </is>
      </c>
      <c r="AX624" t="inlineStr">
        <is>
          <t>12790492</t>
        </is>
      </c>
      <c r="AY624" t="inlineStr">
        <is>
          <t>991004522839702656</t>
        </is>
      </c>
      <c r="AZ624" t="inlineStr">
        <is>
          <t>991004522839702656</t>
        </is>
      </c>
      <c r="BA624" t="inlineStr">
        <is>
          <t>2256097130002656</t>
        </is>
      </c>
      <c r="BB624" t="inlineStr">
        <is>
          <t>BOOK</t>
        </is>
      </c>
      <c r="BD624" t="inlineStr">
        <is>
          <t>9780942260588</t>
        </is>
      </c>
      <c r="BE624" t="inlineStr">
        <is>
          <t>32285005048359</t>
        </is>
      </c>
      <c r="BF624" t="inlineStr">
        <is>
          <t>893904902</t>
        </is>
      </c>
    </row>
    <row r="625">
      <c r="A625" t="inlineStr">
        <is>
          <t>No</t>
        </is>
      </c>
      <c r="B625" t="inlineStr">
        <is>
          <t>CURAL</t>
        </is>
      </c>
      <c r="C625" t="inlineStr">
        <is>
          <t>SHELVES</t>
        </is>
      </c>
      <c r="D625" t="inlineStr">
        <is>
          <t>PQ6430 .L48 1970c</t>
        </is>
      </c>
      <c r="E625" t="inlineStr">
        <is>
          <t>0                      PQ 6430000L  48          1970c</t>
        </is>
      </c>
      <c r="F625" t="inlineStr">
        <is>
          <t>'Libro de buen amor' studies; edited by G. B. Gybbon-Monypenny.</t>
        </is>
      </c>
      <c r="H625" t="inlineStr">
        <is>
          <t>No</t>
        </is>
      </c>
      <c r="I625" t="inlineStr">
        <is>
          <t>1</t>
        </is>
      </c>
      <c r="J625" t="inlineStr">
        <is>
          <t>No</t>
        </is>
      </c>
      <c r="K625" t="inlineStr">
        <is>
          <t>No</t>
        </is>
      </c>
      <c r="L625" t="inlineStr">
        <is>
          <t>0</t>
        </is>
      </c>
      <c r="N625" t="inlineStr">
        <is>
          <t>London, Tamesis [c1970]</t>
        </is>
      </c>
      <c r="O625" t="inlineStr">
        <is>
          <t>1970</t>
        </is>
      </c>
      <c r="Q625" t="inlineStr">
        <is>
          <t>eng</t>
        </is>
      </c>
      <c r="R625" t="inlineStr">
        <is>
          <t>enk</t>
        </is>
      </c>
      <c r="S625" t="inlineStr">
        <is>
          <t>Colección Támesis. Serie A, Monografías ; 12</t>
        </is>
      </c>
      <c r="T625" t="inlineStr">
        <is>
          <t xml:space="preserve">PQ </t>
        </is>
      </c>
      <c r="U625" t="n">
        <v>2</v>
      </c>
      <c r="V625" t="n">
        <v>2</v>
      </c>
      <c r="W625" t="inlineStr">
        <is>
          <t>1998-12-01</t>
        </is>
      </c>
      <c r="X625" t="inlineStr">
        <is>
          <t>1998-12-01</t>
        </is>
      </c>
      <c r="Y625" t="inlineStr">
        <is>
          <t>1997-07-15</t>
        </is>
      </c>
      <c r="Z625" t="inlineStr">
        <is>
          <t>1997-07-15</t>
        </is>
      </c>
      <c r="AA625" t="n">
        <v>180</v>
      </c>
      <c r="AB625" t="n">
        <v>123</v>
      </c>
      <c r="AC625" t="n">
        <v>279</v>
      </c>
      <c r="AD625" t="n">
        <v>2</v>
      </c>
      <c r="AE625" t="n">
        <v>2</v>
      </c>
      <c r="AF625" t="n">
        <v>6</v>
      </c>
      <c r="AG625" t="n">
        <v>17</v>
      </c>
      <c r="AH625" t="n">
        <v>1</v>
      </c>
      <c r="AI625" t="n">
        <v>4</v>
      </c>
      <c r="AJ625" t="n">
        <v>3</v>
      </c>
      <c r="AK625" t="n">
        <v>6</v>
      </c>
      <c r="AL625" t="n">
        <v>4</v>
      </c>
      <c r="AM625" t="n">
        <v>12</v>
      </c>
      <c r="AN625" t="n">
        <v>1</v>
      </c>
      <c r="AO625" t="n">
        <v>1</v>
      </c>
      <c r="AP625" t="n">
        <v>0</v>
      </c>
      <c r="AQ625" t="n">
        <v>0</v>
      </c>
      <c r="AR625" t="inlineStr">
        <is>
          <t>No</t>
        </is>
      </c>
      <c r="AS625" t="inlineStr">
        <is>
          <t>No</t>
        </is>
      </c>
      <c r="AU625">
        <f>HYPERLINK("https://creighton-primo.hosted.exlibrisgroup.com/primo-explore/search?tab=default_tab&amp;search_scope=EVERYTHING&amp;vid=01CRU&amp;lang=en_US&amp;offset=0&amp;query=any,contains,991003088619702656","Catalog Record")</f>
        <v/>
      </c>
      <c r="AV625">
        <f>HYPERLINK("http://www.worldcat.org/oclc/639020","WorldCat Record")</f>
        <v/>
      </c>
      <c r="AW625" t="inlineStr">
        <is>
          <t>53940647:eng</t>
        </is>
      </c>
      <c r="AX625" t="inlineStr">
        <is>
          <t>639020</t>
        </is>
      </c>
      <c r="AY625" t="inlineStr">
        <is>
          <t>991003088619702656</t>
        </is>
      </c>
      <c r="AZ625" t="inlineStr">
        <is>
          <t>991003088619702656</t>
        </is>
      </c>
      <c r="BA625" t="inlineStr">
        <is>
          <t>2257610920002656</t>
        </is>
      </c>
      <c r="BB625" t="inlineStr">
        <is>
          <t>BOOK</t>
        </is>
      </c>
      <c r="BD625" t="inlineStr">
        <is>
          <t>9780900411045</t>
        </is>
      </c>
      <c r="BE625" t="inlineStr">
        <is>
          <t>32285002519816</t>
        </is>
      </c>
      <c r="BF625" t="inlineStr">
        <is>
          <t>893604421</t>
        </is>
      </c>
    </row>
    <row r="626">
      <c r="A626" t="inlineStr">
        <is>
          <t>No</t>
        </is>
      </c>
      <c r="B626" t="inlineStr">
        <is>
          <t>CURAL</t>
        </is>
      </c>
      <c r="C626" t="inlineStr">
        <is>
          <t>SHELVES</t>
        </is>
      </c>
      <c r="D626" t="inlineStr">
        <is>
          <t>PQ6432 .A6 1985</t>
        </is>
      </c>
      <c r="E626" t="inlineStr">
        <is>
          <t>0                      PQ 6432000A  6           1985</t>
        </is>
      </c>
      <c r="F626" t="inlineStr">
        <is>
          <t>Los sonetos "al itálico modo" de Iñigo López de Mendoza, marqués de Santillana / edición crítica, introducción y notas de Maxim. P.A.M. Kerkhof y Dirk Tuin.</t>
        </is>
      </c>
      <c r="H626" t="inlineStr">
        <is>
          <t>No</t>
        </is>
      </c>
      <c r="I626" t="inlineStr">
        <is>
          <t>1</t>
        </is>
      </c>
      <c r="J626" t="inlineStr">
        <is>
          <t>No</t>
        </is>
      </c>
      <c r="K626" t="inlineStr">
        <is>
          <t>No</t>
        </is>
      </c>
      <c r="L626" t="inlineStr">
        <is>
          <t>0</t>
        </is>
      </c>
      <c r="M626" t="inlineStr">
        <is>
          <t>Santillana, Iñigo López de Mendoza, marqués de, 1398-1458.</t>
        </is>
      </c>
      <c r="N626" t="inlineStr">
        <is>
          <t>Madison : Hispanic Seminary of Medieval Studies, 1985.</t>
        </is>
      </c>
      <c r="O626" t="inlineStr">
        <is>
          <t>1985</t>
        </is>
      </c>
      <c r="Q626" t="inlineStr">
        <is>
          <t>spa</t>
        </is>
      </c>
      <c r="R626" t="inlineStr">
        <is>
          <t xml:space="preserve">sp </t>
        </is>
      </c>
      <c r="S626" t="inlineStr">
        <is>
          <t>Spanish series ; no. 18</t>
        </is>
      </c>
      <c r="T626" t="inlineStr">
        <is>
          <t xml:space="preserve">PQ </t>
        </is>
      </c>
      <c r="U626" t="n">
        <v>1</v>
      </c>
      <c r="V626" t="n">
        <v>1</v>
      </c>
      <c r="W626" t="inlineStr">
        <is>
          <t>2005-03-02</t>
        </is>
      </c>
      <c r="X626" t="inlineStr">
        <is>
          <t>2005-03-02</t>
        </is>
      </c>
      <c r="Y626" t="inlineStr">
        <is>
          <t>2005-03-02</t>
        </is>
      </c>
      <c r="Z626" t="inlineStr">
        <is>
          <t>2005-03-02</t>
        </is>
      </c>
      <c r="AA626" t="n">
        <v>114</v>
      </c>
      <c r="AB626" t="n">
        <v>84</v>
      </c>
      <c r="AC626" t="n">
        <v>86</v>
      </c>
      <c r="AD626" t="n">
        <v>1</v>
      </c>
      <c r="AE626" t="n">
        <v>1</v>
      </c>
      <c r="AF626" t="n">
        <v>6</v>
      </c>
      <c r="AG626" t="n">
        <v>6</v>
      </c>
      <c r="AH626" t="n">
        <v>0</v>
      </c>
      <c r="AI626" t="n">
        <v>0</v>
      </c>
      <c r="AJ626" t="n">
        <v>3</v>
      </c>
      <c r="AK626" t="n">
        <v>3</v>
      </c>
      <c r="AL626" t="n">
        <v>5</v>
      </c>
      <c r="AM626" t="n">
        <v>5</v>
      </c>
      <c r="AN626" t="n">
        <v>0</v>
      </c>
      <c r="AO626" t="n">
        <v>0</v>
      </c>
      <c r="AP626" t="n">
        <v>0</v>
      </c>
      <c r="AQ626" t="n">
        <v>0</v>
      </c>
      <c r="AR626" t="inlineStr">
        <is>
          <t>No</t>
        </is>
      </c>
      <c r="AS626" t="inlineStr">
        <is>
          <t>Yes</t>
        </is>
      </c>
      <c r="AT626">
        <f>HYPERLINK("http://catalog.hathitrust.org/Record/004171628","HathiTrust Record")</f>
        <v/>
      </c>
      <c r="AU626">
        <f>HYPERLINK("https://creighton-primo.hosted.exlibrisgroup.com/primo-explore/search?tab=default_tab&amp;search_scope=EVERYTHING&amp;vid=01CRU&amp;lang=en_US&amp;offset=0&amp;query=any,contains,991004490139702656","Catalog Record")</f>
        <v/>
      </c>
      <c r="AV626">
        <f>HYPERLINK("http://www.worldcat.org/oclc/12585745","WorldCat Record")</f>
        <v/>
      </c>
      <c r="AW626" t="inlineStr">
        <is>
          <t>2999328109:spa</t>
        </is>
      </c>
      <c r="AX626" t="inlineStr">
        <is>
          <t>12585745</t>
        </is>
      </c>
      <c r="AY626" t="inlineStr">
        <is>
          <t>991004490139702656</t>
        </is>
      </c>
      <c r="AZ626" t="inlineStr">
        <is>
          <t>991004490139702656</t>
        </is>
      </c>
      <c r="BA626" t="inlineStr">
        <is>
          <t>2262943720002656</t>
        </is>
      </c>
      <c r="BB626" t="inlineStr">
        <is>
          <t>BOOK</t>
        </is>
      </c>
      <c r="BD626" t="inlineStr">
        <is>
          <t>9780942260472</t>
        </is>
      </c>
      <c r="BE626" t="inlineStr">
        <is>
          <t>32285005028799</t>
        </is>
      </c>
      <c r="BF626" t="inlineStr">
        <is>
          <t>893500631</t>
        </is>
      </c>
    </row>
    <row r="627">
      <c r="A627" t="inlineStr">
        <is>
          <t>No</t>
        </is>
      </c>
      <c r="B627" t="inlineStr">
        <is>
          <t>CURAL</t>
        </is>
      </c>
      <c r="C627" t="inlineStr">
        <is>
          <t>SHELVES</t>
        </is>
      </c>
      <c r="D627" t="inlineStr">
        <is>
          <t>PQ6434 .C6 1965</t>
        </is>
      </c>
      <c r="E627" t="inlineStr">
        <is>
          <t>0                      PQ 6434000C  6           1965</t>
        </is>
      </c>
      <c r="F627" t="inlineStr">
        <is>
          <t>El condenado por desconfiado / Tirso del Molina [i.e. G. Téllez] ; ed., estudio y notas por Angel González Palencia.</t>
        </is>
      </c>
      <c r="H627" t="inlineStr">
        <is>
          <t>No</t>
        </is>
      </c>
      <c r="I627" t="inlineStr">
        <is>
          <t>1</t>
        </is>
      </c>
      <c r="J627" t="inlineStr">
        <is>
          <t>No</t>
        </is>
      </c>
      <c r="K627" t="inlineStr">
        <is>
          <t>No</t>
        </is>
      </c>
      <c r="L627" t="inlineStr">
        <is>
          <t>0</t>
        </is>
      </c>
      <c r="M627" t="inlineStr">
        <is>
          <t>Molina, Tirso de, 1571?-1648.</t>
        </is>
      </c>
      <c r="N627" t="inlineStr">
        <is>
          <t>Zaragoza : Editorial Ebro, [c1965]</t>
        </is>
      </c>
      <c r="O627" t="inlineStr">
        <is>
          <t>1965</t>
        </is>
      </c>
      <c r="P627" t="inlineStr">
        <is>
          <t>9. ed. ilus.</t>
        </is>
      </c>
      <c r="Q627" t="inlineStr">
        <is>
          <t>spa</t>
        </is>
      </c>
      <c r="R627" t="inlineStr">
        <is>
          <t xml:space="preserve">sp </t>
        </is>
      </c>
      <c r="S627" t="inlineStr">
        <is>
          <t>Biblioteca clásica Ebro : Clásicos españoles ; 1</t>
        </is>
      </c>
      <c r="T627" t="inlineStr">
        <is>
          <t xml:space="preserve">PQ </t>
        </is>
      </c>
      <c r="U627" t="n">
        <v>1</v>
      </c>
      <c r="V627" t="n">
        <v>1</v>
      </c>
      <c r="W627" t="inlineStr">
        <is>
          <t>2005-03-22</t>
        </is>
      </c>
      <c r="X627" t="inlineStr">
        <is>
          <t>2005-03-22</t>
        </is>
      </c>
      <c r="Y627" t="inlineStr">
        <is>
          <t>2005-03-22</t>
        </is>
      </c>
      <c r="Z627" t="inlineStr">
        <is>
          <t>2005-03-22</t>
        </is>
      </c>
      <c r="AA627" t="n">
        <v>53</v>
      </c>
      <c r="AB627" t="n">
        <v>45</v>
      </c>
      <c r="AC627" t="n">
        <v>425</v>
      </c>
      <c r="AD627" t="n">
        <v>2</v>
      </c>
      <c r="AE627" t="n">
        <v>3</v>
      </c>
      <c r="AF627" t="n">
        <v>4</v>
      </c>
      <c r="AG627" t="n">
        <v>24</v>
      </c>
      <c r="AH627" t="n">
        <v>2</v>
      </c>
      <c r="AI627" t="n">
        <v>10</v>
      </c>
      <c r="AJ627" t="n">
        <v>1</v>
      </c>
      <c r="AK627" t="n">
        <v>8</v>
      </c>
      <c r="AL627" t="n">
        <v>1</v>
      </c>
      <c r="AM627" t="n">
        <v>11</v>
      </c>
      <c r="AN627" t="n">
        <v>1</v>
      </c>
      <c r="AO627" t="n">
        <v>2</v>
      </c>
      <c r="AP627" t="n">
        <v>0</v>
      </c>
      <c r="AQ627" t="n">
        <v>0</v>
      </c>
      <c r="AR627" t="inlineStr">
        <is>
          <t>No</t>
        </is>
      </c>
      <c r="AS627" t="inlineStr">
        <is>
          <t>No</t>
        </is>
      </c>
      <c r="AU627">
        <f>HYPERLINK("https://creighton-primo.hosted.exlibrisgroup.com/primo-explore/search?tab=default_tab&amp;search_scope=EVERYTHING&amp;vid=01CRU&amp;lang=en_US&amp;offset=0&amp;query=any,contains,991004508749702656","Catalog Record")</f>
        <v/>
      </c>
      <c r="AV627">
        <f>HYPERLINK("http://www.worldcat.org/oclc/2532017","WorldCat Record")</f>
        <v/>
      </c>
      <c r="AW627" t="inlineStr">
        <is>
          <t>1864354846:spa</t>
        </is>
      </c>
      <c r="AX627" t="inlineStr">
        <is>
          <t>2532017</t>
        </is>
      </c>
      <c r="AY627" t="inlineStr">
        <is>
          <t>991004508749702656</t>
        </is>
      </c>
      <c r="AZ627" t="inlineStr">
        <is>
          <t>991004508749702656</t>
        </is>
      </c>
      <c r="BA627" t="inlineStr">
        <is>
          <t>2268530440002656</t>
        </is>
      </c>
      <c r="BB627" t="inlineStr">
        <is>
          <t>BOOK</t>
        </is>
      </c>
      <c r="BE627" t="inlineStr">
        <is>
          <t>32285005029532</t>
        </is>
      </c>
      <c r="BF627" t="inlineStr">
        <is>
          <t>893259800</t>
        </is>
      </c>
    </row>
    <row r="628">
      <c r="A628" t="inlineStr">
        <is>
          <t>No</t>
        </is>
      </c>
      <c r="B628" t="inlineStr">
        <is>
          <t>CURAL</t>
        </is>
      </c>
      <c r="C628" t="inlineStr">
        <is>
          <t>SHELVES</t>
        </is>
      </c>
      <c r="D628" t="inlineStr">
        <is>
          <t>PQ6436 .M24 1976</t>
        </is>
      </c>
      <c r="E628" t="inlineStr">
        <is>
          <t>0                      PQ 6436000M  24          1976</t>
        </is>
      </c>
      <c r="F628" t="inlineStr">
        <is>
          <t>Tirso de Molina : studies in dramatic realism / by I. L. McClelland.</t>
        </is>
      </c>
      <c r="H628" t="inlineStr">
        <is>
          <t>No</t>
        </is>
      </c>
      <c r="I628" t="inlineStr">
        <is>
          <t>1</t>
        </is>
      </c>
      <c r="J628" t="inlineStr">
        <is>
          <t>No</t>
        </is>
      </c>
      <c r="K628" t="inlineStr">
        <is>
          <t>No</t>
        </is>
      </c>
      <c r="L628" t="inlineStr">
        <is>
          <t>0</t>
        </is>
      </c>
      <c r="M628" t="inlineStr">
        <is>
          <t>McClelland, I. L. (Ivy Lilian)</t>
        </is>
      </c>
      <c r="N628" t="inlineStr">
        <is>
          <t>New York : AMS Press, 1976.</t>
        </is>
      </c>
      <c r="O628" t="inlineStr">
        <is>
          <t>1976</t>
        </is>
      </c>
      <c r="Q628" t="inlineStr">
        <is>
          <t>eng</t>
        </is>
      </c>
      <c r="R628" t="inlineStr">
        <is>
          <t>nyu</t>
        </is>
      </c>
      <c r="S628" t="inlineStr">
        <is>
          <t>Liverpool studies in Spanish literature ; 3d ser.</t>
        </is>
      </c>
      <c r="T628" t="inlineStr">
        <is>
          <t xml:space="preserve">PQ </t>
        </is>
      </c>
      <c r="U628" t="n">
        <v>2</v>
      </c>
      <c r="V628" t="n">
        <v>2</v>
      </c>
      <c r="W628" t="inlineStr">
        <is>
          <t>2000-11-26</t>
        </is>
      </c>
      <c r="X628" t="inlineStr">
        <is>
          <t>2000-11-26</t>
        </is>
      </c>
      <c r="Y628" t="inlineStr">
        <is>
          <t>1991-06-13</t>
        </is>
      </c>
      <c r="Z628" t="inlineStr">
        <is>
          <t>1991-06-13</t>
        </is>
      </c>
      <c r="AA628" t="n">
        <v>123</v>
      </c>
      <c r="AB628" t="n">
        <v>107</v>
      </c>
      <c r="AC628" t="n">
        <v>211</v>
      </c>
      <c r="AD628" t="n">
        <v>1</v>
      </c>
      <c r="AE628" t="n">
        <v>2</v>
      </c>
      <c r="AF628" t="n">
        <v>5</v>
      </c>
      <c r="AG628" t="n">
        <v>14</v>
      </c>
      <c r="AH628" t="n">
        <v>1</v>
      </c>
      <c r="AI628" t="n">
        <v>3</v>
      </c>
      <c r="AJ628" t="n">
        <v>2</v>
      </c>
      <c r="AK628" t="n">
        <v>5</v>
      </c>
      <c r="AL628" t="n">
        <v>3</v>
      </c>
      <c r="AM628" t="n">
        <v>9</v>
      </c>
      <c r="AN628" t="n">
        <v>0</v>
      </c>
      <c r="AO628" t="n">
        <v>1</v>
      </c>
      <c r="AP628" t="n">
        <v>0</v>
      </c>
      <c r="AQ628" t="n">
        <v>0</v>
      </c>
      <c r="AR628" t="inlineStr">
        <is>
          <t>No</t>
        </is>
      </c>
      <c r="AS628" t="inlineStr">
        <is>
          <t>Yes</t>
        </is>
      </c>
      <c r="AT628">
        <f>HYPERLINK("http://catalog.hathitrust.org/Record/008323813","HathiTrust Record")</f>
        <v/>
      </c>
      <c r="AU628">
        <f>HYPERLINK("https://creighton-primo.hosted.exlibrisgroup.com/primo-explore/search?tab=default_tab&amp;search_scope=EVERYTHING&amp;vid=01CRU&amp;lang=en_US&amp;offset=0&amp;query=any,contains,991004107949702656","Catalog Record")</f>
        <v/>
      </c>
      <c r="AV628">
        <f>HYPERLINK("http://www.worldcat.org/oclc/2388230","WorldCat Record")</f>
        <v/>
      </c>
      <c r="AW628" t="inlineStr">
        <is>
          <t>5912254:eng</t>
        </is>
      </c>
      <c r="AX628" t="inlineStr">
        <is>
          <t>2388230</t>
        </is>
      </c>
      <c r="AY628" t="inlineStr">
        <is>
          <t>991004107949702656</t>
        </is>
      </c>
      <c r="AZ628" t="inlineStr">
        <is>
          <t>991004107949702656</t>
        </is>
      </c>
      <c r="BA628" t="inlineStr">
        <is>
          <t>2259312050002656</t>
        </is>
      </c>
      <c r="BB628" t="inlineStr">
        <is>
          <t>BOOK</t>
        </is>
      </c>
      <c r="BD628" t="inlineStr">
        <is>
          <t>9780404150334</t>
        </is>
      </c>
      <c r="BE628" t="inlineStr">
        <is>
          <t>32285000630433</t>
        </is>
      </c>
      <c r="BF628" t="inlineStr">
        <is>
          <t>893519248</t>
        </is>
      </c>
    </row>
    <row r="629">
      <c r="A629" t="inlineStr">
        <is>
          <t>No</t>
        </is>
      </c>
      <c r="B629" t="inlineStr">
        <is>
          <t>CURAL</t>
        </is>
      </c>
      <c r="C629" t="inlineStr">
        <is>
          <t>SHELVES</t>
        </is>
      </c>
      <c r="D629" t="inlineStr">
        <is>
          <t>PQ6437.T3 Z7</t>
        </is>
      </c>
      <c r="E629" t="inlineStr">
        <is>
          <t>0                      PQ 6437000T  3                  Z  7</t>
        </is>
      </c>
      <c r="F629" t="inlineStr">
        <is>
          <t>Santa Teresa de Avila / by Helmut A. Hatzfeld.</t>
        </is>
      </c>
      <c r="H629" t="inlineStr">
        <is>
          <t>No</t>
        </is>
      </c>
      <c r="I629" t="inlineStr">
        <is>
          <t>1</t>
        </is>
      </c>
      <c r="J629" t="inlineStr">
        <is>
          <t>No</t>
        </is>
      </c>
      <c r="K629" t="inlineStr">
        <is>
          <t>No</t>
        </is>
      </c>
      <c r="L629" t="inlineStr">
        <is>
          <t>0</t>
        </is>
      </c>
      <c r="M629" t="inlineStr">
        <is>
          <t>Hatzfeld, Helmut (Helmut Anthony), 1892-1979.</t>
        </is>
      </c>
      <c r="N629" t="inlineStr">
        <is>
          <t>New York : Twayne Publishers, [c1969]</t>
        </is>
      </c>
      <c r="O629" t="inlineStr">
        <is>
          <t>1969</t>
        </is>
      </c>
      <c r="Q629" t="inlineStr">
        <is>
          <t>eng</t>
        </is>
      </c>
      <c r="R629" t="inlineStr">
        <is>
          <t>nyu</t>
        </is>
      </c>
      <c r="S629" t="inlineStr">
        <is>
          <t>Twayne's world authors series, 79. Spain</t>
        </is>
      </c>
      <c r="T629" t="inlineStr">
        <is>
          <t xml:space="preserve">PQ </t>
        </is>
      </c>
      <c r="U629" t="n">
        <v>3</v>
      </c>
      <c r="V629" t="n">
        <v>3</v>
      </c>
      <c r="W629" t="inlineStr">
        <is>
          <t>2003-11-14</t>
        </is>
      </c>
      <c r="X629" t="inlineStr">
        <is>
          <t>2003-11-14</t>
        </is>
      </c>
      <c r="Y629" t="inlineStr">
        <is>
          <t>1991-06-13</t>
        </is>
      </c>
      <c r="Z629" t="inlineStr">
        <is>
          <t>1991-06-13</t>
        </is>
      </c>
      <c r="AA629" t="n">
        <v>658</v>
      </c>
      <c r="AB629" t="n">
        <v>591</v>
      </c>
      <c r="AC629" t="n">
        <v>601</v>
      </c>
      <c r="AD629" t="n">
        <v>3</v>
      </c>
      <c r="AE629" t="n">
        <v>3</v>
      </c>
      <c r="AF629" t="n">
        <v>23</v>
      </c>
      <c r="AG629" t="n">
        <v>24</v>
      </c>
      <c r="AH629" t="n">
        <v>7</v>
      </c>
      <c r="AI629" t="n">
        <v>7</v>
      </c>
      <c r="AJ629" t="n">
        <v>7</v>
      </c>
      <c r="AK629" t="n">
        <v>8</v>
      </c>
      <c r="AL629" t="n">
        <v>14</v>
      </c>
      <c r="AM629" t="n">
        <v>15</v>
      </c>
      <c r="AN629" t="n">
        <v>2</v>
      </c>
      <c r="AO629" t="n">
        <v>2</v>
      </c>
      <c r="AP629" t="n">
        <v>0</v>
      </c>
      <c r="AQ629" t="n">
        <v>0</v>
      </c>
      <c r="AR629" t="inlineStr">
        <is>
          <t>No</t>
        </is>
      </c>
      <c r="AS629" t="inlineStr">
        <is>
          <t>No</t>
        </is>
      </c>
      <c r="AU629">
        <f>HYPERLINK("https://creighton-primo.hosted.exlibrisgroup.com/primo-explore/search?tab=default_tab&amp;search_scope=EVERYTHING&amp;vid=01CRU&amp;lang=en_US&amp;offset=0&amp;query=any,contains,991000515249702656","Catalog Record")</f>
        <v/>
      </c>
      <c r="AV629">
        <f>HYPERLINK("http://www.worldcat.org/oclc/85357","WorldCat Record")</f>
        <v/>
      </c>
      <c r="AW629" t="inlineStr">
        <is>
          <t>3943355216:eng</t>
        </is>
      </c>
      <c r="AX629" t="inlineStr">
        <is>
          <t>85357</t>
        </is>
      </c>
      <c r="AY629" t="inlineStr">
        <is>
          <t>991000515249702656</t>
        </is>
      </c>
      <c r="AZ629" t="inlineStr">
        <is>
          <t>991000515249702656</t>
        </is>
      </c>
      <c r="BA629" t="inlineStr">
        <is>
          <t>2267100510002656</t>
        </is>
      </c>
      <c r="BB629" t="inlineStr">
        <is>
          <t>BOOK</t>
        </is>
      </c>
      <c r="BE629" t="inlineStr">
        <is>
          <t>32285000630458</t>
        </is>
      </c>
      <c r="BF629" t="inlineStr">
        <is>
          <t>893626343</t>
        </is>
      </c>
    </row>
    <row r="630">
      <c r="A630" t="inlineStr">
        <is>
          <t>No</t>
        </is>
      </c>
      <c r="B630" t="inlineStr">
        <is>
          <t>CURAL</t>
        </is>
      </c>
      <c r="C630" t="inlineStr">
        <is>
          <t>SHELVES</t>
        </is>
      </c>
      <c r="D630" t="inlineStr">
        <is>
          <t>PQ6457.D7 T7</t>
        </is>
      </c>
      <c r="E630" t="inlineStr">
        <is>
          <t>0                      PQ 6457000D  7                  T  7</t>
        </is>
      </c>
      <c r="F630" t="inlineStr">
        <is>
          <t>Experience and artistic expression in Lope de Vega : the making of La Dorotea / [by] Alan S. Trueblood.</t>
        </is>
      </c>
      <c r="H630" t="inlineStr">
        <is>
          <t>No</t>
        </is>
      </c>
      <c r="I630" t="inlineStr">
        <is>
          <t>1</t>
        </is>
      </c>
      <c r="J630" t="inlineStr">
        <is>
          <t>No</t>
        </is>
      </c>
      <c r="K630" t="inlineStr">
        <is>
          <t>No</t>
        </is>
      </c>
      <c r="L630" t="inlineStr">
        <is>
          <t>0</t>
        </is>
      </c>
      <c r="M630" t="inlineStr">
        <is>
          <t>Trueblood, Alan S.</t>
        </is>
      </c>
      <c r="N630" t="inlineStr">
        <is>
          <t>Cambridge : Harvard University Press, 1974.</t>
        </is>
      </c>
      <c r="O630" t="inlineStr">
        <is>
          <t>1974</t>
        </is>
      </c>
      <c r="Q630" t="inlineStr">
        <is>
          <t>eng</t>
        </is>
      </c>
      <c r="R630" t="inlineStr">
        <is>
          <t>mau</t>
        </is>
      </c>
      <c r="T630" t="inlineStr">
        <is>
          <t xml:space="preserve">PQ </t>
        </is>
      </c>
      <c r="U630" t="n">
        <v>4</v>
      </c>
      <c r="V630" t="n">
        <v>4</v>
      </c>
      <c r="W630" t="inlineStr">
        <is>
          <t>2004-11-18</t>
        </is>
      </c>
      <c r="X630" t="inlineStr">
        <is>
          <t>2004-11-18</t>
        </is>
      </c>
      <c r="Y630" t="inlineStr">
        <is>
          <t>1991-06-13</t>
        </is>
      </c>
      <c r="Z630" t="inlineStr">
        <is>
          <t>1991-06-13</t>
        </is>
      </c>
      <c r="AA630" t="n">
        <v>608</v>
      </c>
      <c r="AB630" t="n">
        <v>513</v>
      </c>
      <c r="AC630" t="n">
        <v>522</v>
      </c>
      <c r="AD630" t="n">
        <v>3</v>
      </c>
      <c r="AE630" t="n">
        <v>3</v>
      </c>
      <c r="AF630" t="n">
        <v>27</v>
      </c>
      <c r="AG630" t="n">
        <v>27</v>
      </c>
      <c r="AH630" t="n">
        <v>9</v>
      </c>
      <c r="AI630" t="n">
        <v>9</v>
      </c>
      <c r="AJ630" t="n">
        <v>7</v>
      </c>
      <c r="AK630" t="n">
        <v>7</v>
      </c>
      <c r="AL630" t="n">
        <v>16</v>
      </c>
      <c r="AM630" t="n">
        <v>16</v>
      </c>
      <c r="AN630" t="n">
        <v>2</v>
      </c>
      <c r="AO630" t="n">
        <v>2</v>
      </c>
      <c r="AP630" t="n">
        <v>0</v>
      </c>
      <c r="AQ630" t="n">
        <v>0</v>
      </c>
      <c r="AR630" t="inlineStr">
        <is>
          <t>No</t>
        </is>
      </c>
      <c r="AS630" t="inlineStr">
        <is>
          <t>Yes</t>
        </is>
      </c>
      <c r="AT630">
        <f>HYPERLINK("http://catalog.hathitrust.org/Record/001056459","HathiTrust Record")</f>
        <v/>
      </c>
      <c r="AU630">
        <f>HYPERLINK("https://creighton-primo.hosted.exlibrisgroup.com/primo-explore/search?tab=default_tab&amp;search_scope=EVERYTHING&amp;vid=01CRU&amp;lang=en_US&amp;offset=0&amp;query=any,contains,991003321939702656","Catalog Record")</f>
        <v/>
      </c>
      <c r="AV630">
        <f>HYPERLINK("http://www.worldcat.org/oclc/850064","WorldCat Record")</f>
        <v/>
      </c>
      <c r="AW630" t="inlineStr">
        <is>
          <t>320698202:eng</t>
        </is>
      </c>
      <c r="AX630" t="inlineStr">
        <is>
          <t>850064</t>
        </is>
      </c>
      <c r="AY630" t="inlineStr">
        <is>
          <t>991003321939702656</t>
        </is>
      </c>
      <c r="AZ630" t="inlineStr">
        <is>
          <t>991003321939702656</t>
        </is>
      </c>
      <c r="BA630" t="inlineStr">
        <is>
          <t>2262719660002656</t>
        </is>
      </c>
      <c r="BB630" t="inlineStr">
        <is>
          <t>BOOK</t>
        </is>
      </c>
      <c r="BD630" t="inlineStr">
        <is>
          <t>9780674276703</t>
        </is>
      </c>
      <c r="BE630" t="inlineStr">
        <is>
          <t>32285000630482</t>
        </is>
      </c>
      <c r="BF630" t="inlineStr">
        <is>
          <t>893592415</t>
        </is>
      </c>
    </row>
    <row r="631">
      <c r="A631" t="inlineStr">
        <is>
          <t>No</t>
        </is>
      </c>
      <c r="B631" t="inlineStr">
        <is>
          <t>CURAL</t>
        </is>
      </c>
      <c r="C631" t="inlineStr">
        <is>
          <t>SHELVES</t>
        </is>
      </c>
      <c r="D631" t="inlineStr">
        <is>
          <t>PQ6469 .H3</t>
        </is>
      </c>
      <c r="E631" t="inlineStr">
        <is>
          <t>0                      PQ 6469000H  3</t>
        </is>
      </c>
      <c r="F631" t="inlineStr">
        <is>
          <t>Lope de Vega / by Francis C. Hayes.</t>
        </is>
      </c>
      <c r="H631" t="inlineStr">
        <is>
          <t>No</t>
        </is>
      </c>
      <c r="I631" t="inlineStr">
        <is>
          <t>1</t>
        </is>
      </c>
      <c r="J631" t="inlineStr">
        <is>
          <t>No</t>
        </is>
      </c>
      <c r="K631" t="inlineStr">
        <is>
          <t>No</t>
        </is>
      </c>
      <c r="L631" t="inlineStr">
        <is>
          <t>0</t>
        </is>
      </c>
      <c r="M631" t="inlineStr">
        <is>
          <t>Hayes, Francis C. (Francis Clement), 1904-</t>
        </is>
      </c>
      <c r="N631" t="inlineStr">
        <is>
          <t>New York : Twayne Publishers, [1967]</t>
        </is>
      </c>
      <c r="O631" t="inlineStr">
        <is>
          <t>1967</t>
        </is>
      </c>
      <c r="Q631" t="inlineStr">
        <is>
          <t>eng</t>
        </is>
      </c>
      <c r="R631" t="inlineStr">
        <is>
          <t>nyu</t>
        </is>
      </c>
      <c r="S631" t="inlineStr">
        <is>
          <t>Twayne's world authors series, 28. Spain</t>
        </is>
      </c>
      <c r="T631" t="inlineStr">
        <is>
          <t xml:space="preserve">PQ </t>
        </is>
      </c>
      <c r="U631" t="n">
        <v>10</v>
      </c>
      <c r="V631" t="n">
        <v>10</v>
      </c>
      <c r="W631" t="inlineStr">
        <is>
          <t>2004-11-18</t>
        </is>
      </c>
      <c r="X631" t="inlineStr">
        <is>
          <t>2004-11-18</t>
        </is>
      </c>
      <c r="Y631" t="inlineStr">
        <is>
          <t>1991-06-13</t>
        </is>
      </c>
      <c r="Z631" t="inlineStr">
        <is>
          <t>1991-06-13</t>
        </is>
      </c>
      <c r="AA631" t="n">
        <v>1057</v>
      </c>
      <c r="AB631" t="n">
        <v>962</v>
      </c>
      <c r="AC631" t="n">
        <v>971</v>
      </c>
      <c r="AD631" t="n">
        <v>10</v>
      </c>
      <c r="AE631" t="n">
        <v>10</v>
      </c>
      <c r="AF631" t="n">
        <v>45</v>
      </c>
      <c r="AG631" t="n">
        <v>46</v>
      </c>
      <c r="AH631" t="n">
        <v>20</v>
      </c>
      <c r="AI631" t="n">
        <v>20</v>
      </c>
      <c r="AJ631" t="n">
        <v>9</v>
      </c>
      <c r="AK631" t="n">
        <v>10</v>
      </c>
      <c r="AL631" t="n">
        <v>19</v>
      </c>
      <c r="AM631" t="n">
        <v>20</v>
      </c>
      <c r="AN631" t="n">
        <v>9</v>
      </c>
      <c r="AO631" t="n">
        <v>9</v>
      </c>
      <c r="AP631" t="n">
        <v>0</v>
      </c>
      <c r="AQ631" t="n">
        <v>0</v>
      </c>
      <c r="AR631" t="inlineStr">
        <is>
          <t>No</t>
        </is>
      </c>
      <c r="AS631" t="inlineStr">
        <is>
          <t>Yes</t>
        </is>
      </c>
      <c r="AT631">
        <f>HYPERLINK("http://catalog.hathitrust.org/Record/001111674","HathiTrust Record")</f>
        <v/>
      </c>
      <c r="AU631">
        <f>HYPERLINK("https://creighton-primo.hosted.exlibrisgroup.com/primo-explore/search?tab=default_tab&amp;search_scope=EVERYTHING&amp;vid=01CRU&amp;lang=en_US&amp;offset=0&amp;query=any,contains,991002640199702656","Catalog Record")</f>
        <v/>
      </c>
      <c r="AV631">
        <f>HYPERLINK("http://www.worldcat.org/oclc/383836","WorldCat Record")</f>
        <v/>
      </c>
      <c r="AW631" t="inlineStr">
        <is>
          <t>1502098:eng</t>
        </is>
      </c>
      <c r="AX631" t="inlineStr">
        <is>
          <t>383836</t>
        </is>
      </c>
      <c r="AY631" t="inlineStr">
        <is>
          <t>991002640199702656</t>
        </is>
      </c>
      <c r="AZ631" t="inlineStr">
        <is>
          <t>991002640199702656</t>
        </is>
      </c>
      <c r="BA631" t="inlineStr">
        <is>
          <t>2260572040002656</t>
        </is>
      </c>
      <c r="BB631" t="inlineStr">
        <is>
          <t>BOOK</t>
        </is>
      </c>
      <c r="BE631" t="inlineStr">
        <is>
          <t>32285000630516</t>
        </is>
      </c>
      <c r="BF631" t="inlineStr">
        <is>
          <t>893867494</t>
        </is>
      </c>
    </row>
    <row r="632">
      <c r="A632" t="inlineStr">
        <is>
          <t>No</t>
        </is>
      </c>
      <c r="B632" t="inlineStr">
        <is>
          <t>CURAL</t>
        </is>
      </c>
      <c r="C632" t="inlineStr">
        <is>
          <t>SHELVES</t>
        </is>
      </c>
      <c r="D632" t="inlineStr">
        <is>
          <t>PQ6469 .R318 1969</t>
        </is>
      </c>
      <c r="E632" t="inlineStr">
        <is>
          <t>0                      PQ 6469000R  318         1969</t>
        </is>
      </c>
      <c r="F632" t="inlineStr">
        <is>
          <t>Vida de Lope de Vega (1562-1635) / [por] Américo Castro [y] Hugo A. Rennert. Notas adicionales de Fernando Lázaro Carreter.</t>
        </is>
      </c>
      <c r="H632" t="inlineStr">
        <is>
          <t>No</t>
        </is>
      </c>
      <c r="I632" t="inlineStr">
        <is>
          <t>1</t>
        </is>
      </c>
      <c r="J632" t="inlineStr">
        <is>
          <t>No</t>
        </is>
      </c>
      <c r="K632" t="inlineStr">
        <is>
          <t>No</t>
        </is>
      </c>
      <c r="L632" t="inlineStr">
        <is>
          <t>0</t>
        </is>
      </c>
      <c r="M632" t="inlineStr">
        <is>
          <t>Rennert, Hugo Albert, 1858-1927.</t>
        </is>
      </c>
      <c r="N632" t="inlineStr">
        <is>
          <t>[Salamanca] Anaya [1969]</t>
        </is>
      </c>
      <c r="O632" t="inlineStr">
        <is>
          <t>1969</t>
        </is>
      </c>
      <c r="P632" t="inlineStr">
        <is>
          <t>[2. edición]</t>
        </is>
      </c>
      <c r="Q632" t="inlineStr">
        <is>
          <t>spa</t>
        </is>
      </c>
      <c r="R632" t="inlineStr">
        <is>
          <t xml:space="preserve">sp </t>
        </is>
      </c>
      <c r="S632" t="inlineStr">
        <is>
          <t>Temas y estudios</t>
        </is>
      </c>
      <c r="T632" t="inlineStr">
        <is>
          <t xml:space="preserve">PQ </t>
        </is>
      </c>
      <c r="U632" t="n">
        <v>2</v>
      </c>
      <c r="V632" t="n">
        <v>2</v>
      </c>
      <c r="W632" t="inlineStr">
        <is>
          <t>2003-11-05</t>
        </is>
      </c>
      <c r="X632" t="inlineStr">
        <is>
          <t>2003-11-05</t>
        </is>
      </c>
      <c r="Y632" t="inlineStr">
        <is>
          <t>1998-01-30</t>
        </is>
      </c>
      <c r="Z632" t="inlineStr">
        <is>
          <t>1998-01-30</t>
        </is>
      </c>
      <c r="AA632" t="n">
        <v>120</v>
      </c>
      <c r="AB632" t="n">
        <v>99</v>
      </c>
      <c r="AC632" t="n">
        <v>297</v>
      </c>
      <c r="AD632" t="n">
        <v>2</v>
      </c>
      <c r="AE632" t="n">
        <v>4</v>
      </c>
      <c r="AF632" t="n">
        <v>5</v>
      </c>
      <c r="AG632" t="n">
        <v>13</v>
      </c>
      <c r="AH632" t="n">
        <v>0</v>
      </c>
      <c r="AI632" t="n">
        <v>3</v>
      </c>
      <c r="AJ632" t="n">
        <v>1</v>
      </c>
      <c r="AK632" t="n">
        <v>4</v>
      </c>
      <c r="AL632" t="n">
        <v>3</v>
      </c>
      <c r="AM632" t="n">
        <v>4</v>
      </c>
      <c r="AN632" t="n">
        <v>1</v>
      </c>
      <c r="AO632" t="n">
        <v>3</v>
      </c>
      <c r="AP632" t="n">
        <v>0</v>
      </c>
      <c r="AQ632" t="n">
        <v>0</v>
      </c>
      <c r="AR632" t="inlineStr">
        <is>
          <t>No</t>
        </is>
      </c>
      <c r="AS632" t="inlineStr">
        <is>
          <t>No</t>
        </is>
      </c>
      <c r="AU632">
        <f>HYPERLINK("https://creighton-primo.hosted.exlibrisgroup.com/primo-explore/search?tab=default_tab&amp;search_scope=EVERYTHING&amp;vid=01CRU&amp;lang=en_US&amp;offset=0&amp;query=any,contains,991003256309702656","Catalog Record")</f>
        <v/>
      </c>
      <c r="AV632">
        <f>HYPERLINK("http://www.worldcat.org/oclc/781587","WorldCat Record")</f>
        <v/>
      </c>
      <c r="AW632" t="inlineStr">
        <is>
          <t>2864017284:spa</t>
        </is>
      </c>
      <c r="AX632" t="inlineStr">
        <is>
          <t>781587</t>
        </is>
      </c>
      <c r="AY632" t="inlineStr">
        <is>
          <t>991003256309702656</t>
        </is>
      </c>
      <c r="AZ632" t="inlineStr">
        <is>
          <t>991003256309702656</t>
        </is>
      </c>
      <c r="BA632" t="inlineStr">
        <is>
          <t>2260894840002656</t>
        </is>
      </c>
      <c r="BB632" t="inlineStr">
        <is>
          <t>BOOK</t>
        </is>
      </c>
      <c r="BE632" t="inlineStr">
        <is>
          <t>32285003337325</t>
        </is>
      </c>
      <c r="BF632" t="inlineStr">
        <is>
          <t>893887293</t>
        </is>
      </c>
    </row>
    <row r="633">
      <c r="A633" t="inlineStr">
        <is>
          <t>No</t>
        </is>
      </c>
      <c r="B633" t="inlineStr">
        <is>
          <t>CURAL</t>
        </is>
      </c>
      <c r="C633" t="inlineStr">
        <is>
          <t>SHELVES</t>
        </is>
      </c>
      <c r="D633" t="inlineStr">
        <is>
          <t>PQ648 .M9 1981</t>
        </is>
      </c>
      <c r="E633" t="inlineStr">
        <is>
          <t>0                      PQ 0648000M  9           1981</t>
        </is>
      </c>
      <c r="F633" t="inlineStr">
        <is>
          <t>The eighteenth-century French novel : techniques of illusion / by Vivienne Mylne.</t>
        </is>
      </c>
      <c r="H633" t="inlineStr">
        <is>
          <t>No</t>
        </is>
      </c>
      <c r="I633" t="inlineStr">
        <is>
          <t>1</t>
        </is>
      </c>
      <c r="J633" t="inlineStr">
        <is>
          <t>No</t>
        </is>
      </c>
      <c r="K633" t="inlineStr">
        <is>
          <t>Yes</t>
        </is>
      </c>
      <c r="L633" t="inlineStr">
        <is>
          <t>0</t>
        </is>
      </c>
      <c r="M633" t="inlineStr">
        <is>
          <t>Mylne, Vivienne.</t>
        </is>
      </c>
      <c r="N633" t="inlineStr">
        <is>
          <t>Cambridge ; New York : Cambridge University Press, 1981.</t>
        </is>
      </c>
      <c r="O633" t="inlineStr">
        <is>
          <t>1981</t>
        </is>
      </c>
      <c r="P633" t="inlineStr">
        <is>
          <t>2nd ed.</t>
        </is>
      </c>
      <c r="Q633" t="inlineStr">
        <is>
          <t>eng</t>
        </is>
      </c>
      <c r="R633" t="inlineStr">
        <is>
          <t>enk</t>
        </is>
      </c>
      <c r="T633" t="inlineStr">
        <is>
          <t xml:space="preserve">PQ </t>
        </is>
      </c>
      <c r="U633" t="n">
        <v>2</v>
      </c>
      <c r="V633" t="n">
        <v>2</v>
      </c>
      <c r="W633" t="inlineStr">
        <is>
          <t>1998-12-02</t>
        </is>
      </c>
      <c r="X633" t="inlineStr">
        <is>
          <t>1998-12-02</t>
        </is>
      </c>
      <c r="Y633" t="inlineStr">
        <is>
          <t>1992-08-04</t>
        </is>
      </c>
      <c r="Z633" t="inlineStr">
        <is>
          <t>1992-08-04</t>
        </is>
      </c>
      <c r="AA633" t="n">
        <v>492</v>
      </c>
      <c r="AB633" t="n">
        <v>376</v>
      </c>
      <c r="AC633" t="n">
        <v>679</v>
      </c>
      <c r="AD633" t="n">
        <v>4</v>
      </c>
      <c r="AE633" t="n">
        <v>5</v>
      </c>
      <c r="AF633" t="n">
        <v>21</v>
      </c>
      <c r="AG633" t="n">
        <v>34</v>
      </c>
      <c r="AH633" t="n">
        <v>8</v>
      </c>
      <c r="AI633" t="n">
        <v>15</v>
      </c>
      <c r="AJ633" t="n">
        <v>5</v>
      </c>
      <c r="AK633" t="n">
        <v>7</v>
      </c>
      <c r="AL633" t="n">
        <v>10</v>
      </c>
      <c r="AM633" t="n">
        <v>18</v>
      </c>
      <c r="AN633" t="n">
        <v>3</v>
      </c>
      <c r="AO633" t="n">
        <v>4</v>
      </c>
      <c r="AP633" t="n">
        <v>0</v>
      </c>
      <c r="AQ633" t="n">
        <v>0</v>
      </c>
      <c r="AR633" t="inlineStr">
        <is>
          <t>No</t>
        </is>
      </c>
      <c r="AS633" t="inlineStr">
        <is>
          <t>Yes</t>
        </is>
      </c>
      <c r="AT633">
        <f>HYPERLINK("http://catalog.hathitrust.org/Record/000264920","HathiTrust Record")</f>
        <v/>
      </c>
      <c r="AU633">
        <f>HYPERLINK("https://creighton-primo.hosted.exlibrisgroup.com/primo-explore/search?tab=default_tab&amp;search_scope=EVERYTHING&amp;vid=01CRU&amp;lang=en_US&amp;offset=0&amp;query=any,contains,991005125749702656","Catalog Record")</f>
        <v/>
      </c>
      <c r="AV633">
        <f>HYPERLINK("http://www.worldcat.org/oclc/7553454","WorldCat Record")</f>
        <v/>
      </c>
      <c r="AW633" t="inlineStr">
        <is>
          <t>836663302:eng</t>
        </is>
      </c>
      <c r="AX633" t="inlineStr">
        <is>
          <t>7553454</t>
        </is>
      </c>
      <c r="AY633" t="inlineStr">
        <is>
          <t>991005125749702656</t>
        </is>
      </c>
      <c r="AZ633" t="inlineStr">
        <is>
          <t>991005125749702656</t>
        </is>
      </c>
      <c r="BA633" t="inlineStr">
        <is>
          <t>2262759950002656</t>
        </is>
      </c>
      <c r="BB633" t="inlineStr">
        <is>
          <t>BOOK</t>
        </is>
      </c>
      <c r="BD633" t="inlineStr">
        <is>
          <t>9780521238649</t>
        </is>
      </c>
      <c r="BE633" t="inlineStr">
        <is>
          <t>32285001251353</t>
        </is>
      </c>
      <c r="BF633" t="inlineStr">
        <is>
          <t>893902163</t>
        </is>
      </c>
    </row>
    <row r="634">
      <c r="A634" t="inlineStr">
        <is>
          <t>No</t>
        </is>
      </c>
      <c r="B634" t="inlineStr">
        <is>
          <t>CURAL</t>
        </is>
      </c>
      <c r="C634" t="inlineStr">
        <is>
          <t>SHELVES</t>
        </is>
      </c>
      <c r="D634" t="inlineStr">
        <is>
          <t>PQ6490.H7 Y37 1994</t>
        </is>
      </c>
      <c r="E634" t="inlineStr">
        <is>
          <t>0                      PQ 6490000H  7                  Y  37          1994</t>
        </is>
      </c>
      <c r="F634" t="inlineStr">
        <is>
          <t>Feminism and the honor plays of Lope de Vega / Yvonne Yarbro-Bejarano.</t>
        </is>
      </c>
      <c r="H634" t="inlineStr">
        <is>
          <t>No</t>
        </is>
      </c>
      <c r="I634" t="inlineStr">
        <is>
          <t>1</t>
        </is>
      </c>
      <c r="J634" t="inlineStr">
        <is>
          <t>No</t>
        </is>
      </c>
      <c r="K634" t="inlineStr">
        <is>
          <t>No</t>
        </is>
      </c>
      <c r="L634" t="inlineStr">
        <is>
          <t>0</t>
        </is>
      </c>
      <c r="M634" t="inlineStr">
        <is>
          <t>Yarbro-Bejarano, Yvonne.</t>
        </is>
      </c>
      <c r="N634" t="inlineStr">
        <is>
          <t>West Lafayette, Ind. : Purdue University Press, c1994.</t>
        </is>
      </c>
      <c r="O634" t="inlineStr">
        <is>
          <t>1994</t>
        </is>
      </c>
      <c r="Q634" t="inlineStr">
        <is>
          <t>eng</t>
        </is>
      </c>
      <c r="R634" t="inlineStr">
        <is>
          <t>inu</t>
        </is>
      </c>
      <c r="S634" t="inlineStr">
        <is>
          <t>Purdue studies in Romance literatures ; v. 4</t>
        </is>
      </c>
      <c r="T634" t="inlineStr">
        <is>
          <t xml:space="preserve">PQ </t>
        </is>
      </c>
      <c r="U634" t="n">
        <v>5</v>
      </c>
      <c r="V634" t="n">
        <v>5</v>
      </c>
      <c r="W634" t="inlineStr">
        <is>
          <t>2004-11-18</t>
        </is>
      </c>
      <c r="X634" t="inlineStr">
        <is>
          <t>2004-11-18</t>
        </is>
      </c>
      <c r="Y634" t="inlineStr">
        <is>
          <t>1995-08-24</t>
        </is>
      </c>
      <c r="Z634" t="inlineStr">
        <is>
          <t>1995-08-24</t>
        </is>
      </c>
      <c r="AA634" t="n">
        <v>421</v>
      </c>
      <c r="AB634" t="n">
        <v>355</v>
      </c>
      <c r="AC634" t="n">
        <v>405</v>
      </c>
      <c r="AD634" t="n">
        <v>3</v>
      </c>
      <c r="AE634" t="n">
        <v>3</v>
      </c>
      <c r="AF634" t="n">
        <v>27</v>
      </c>
      <c r="AG634" t="n">
        <v>30</v>
      </c>
      <c r="AH634" t="n">
        <v>13</v>
      </c>
      <c r="AI634" t="n">
        <v>16</v>
      </c>
      <c r="AJ634" t="n">
        <v>9</v>
      </c>
      <c r="AK634" t="n">
        <v>10</v>
      </c>
      <c r="AL634" t="n">
        <v>14</v>
      </c>
      <c r="AM634" t="n">
        <v>14</v>
      </c>
      <c r="AN634" t="n">
        <v>2</v>
      </c>
      <c r="AO634" t="n">
        <v>2</v>
      </c>
      <c r="AP634" t="n">
        <v>0</v>
      </c>
      <c r="AQ634" t="n">
        <v>0</v>
      </c>
      <c r="AR634" t="inlineStr">
        <is>
          <t>No</t>
        </is>
      </c>
      <c r="AS634" t="inlineStr">
        <is>
          <t>No</t>
        </is>
      </c>
      <c r="AU634">
        <f>HYPERLINK("https://creighton-primo.hosted.exlibrisgroup.com/primo-explore/search?tab=default_tab&amp;search_scope=EVERYTHING&amp;vid=01CRU&amp;lang=en_US&amp;offset=0&amp;query=any,contains,991002255509702656","Catalog Record")</f>
        <v/>
      </c>
      <c r="AV634">
        <f>HYPERLINK("http://www.worldcat.org/oclc/29221389","WorldCat Record")</f>
        <v/>
      </c>
      <c r="AW634" t="inlineStr">
        <is>
          <t>31405779:eng</t>
        </is>
      </c>
      <c r="AX634" t="inlineStr">
        <is>
          <t>29221389</t>
        </is>
      </c>
      <c r="AY634" t="inlineStr">
        <is>
          <t>991002255509702656</t>
        </is>
      </c>
      <c r="AZ634" t="inlineStr">
        <is>
          <t>991002255509702656</t>
        </is>
      </c>
      <c r="BA634" t="inlineStr">
        <is>
          <t>2266186940002656</t>
        </is>
      </c>
      <c r="BB634" t="inlineStr">
        <is>
          <t>BOOK</t>
        </is>
      </c>
      <c r="BD634" t="inlineStr">
        <is>
          <t>9781557530448</t>
        </is>
      </c>
      <c r="BE634" t="inlineStr">
        <is>
          <t>32285002090065</t>
        </is>
      </c>
      <c r="BF634" t="inlineStr">
        <is>
          <t>893510509</t>
        </is>
      </c>
    </row>
    <row r="635">
      <c r="A635" t="inlineStr">
        <is>
          <t>No</t>
        </is>
      </c>
      <c r="B635" t="inlineStr">
        <is>
          <t>CURAL</t>
        </is>
      </c>
      <c r="C635" t="inlineStr">
        <is>
          <t>SHELVES</t>
        </is>
      </c>
      <c r="D635" t="inlineStr">
        <is>
          <t>PQ6496 .A54 1986</t>
        </is>
      </c>
      <c r="E635" t="inlineStr">
        <is>
          <t>0                      PQ 6496000A  54          1986</t>
        </is>
      </c>
      <c r="F635" t="inlineStr">
        <is>
          <t>Lepanto : fact, fiction, and fantasy : with a critical edition of Luis Vélez de Guevara's El águila del agua, a play in three acts / Michael G. Paulson, Tamara Alvarez-Detrell.</t>
        </is>
      </c>
      <c r="H635" t="inlineStr">
        <is>
          <t>No</t>
        </is>
      </c>
      <c r="I635" t="inlineStr">
        <is>
          <t>1</t>
        </is>
      </c>
      <c r="J635" t="inlineStr">
        <is>
          <t>No</t>
        </is>
      </c>
      <c r="K635" t="inlineStr">
        <is>
          <t>No</t>
        </is>
      </c>
      <c r="L635" t="inlineStr">
        <is>
          <t>0</t>
        </is>
      </c>
      <c r="M635" t="inlineStr">
        <is>
          <t>Paulson, Michael G.</t>
        </is>
      </c>
      <c r="N635" t="inlineStr">
        <is>
          <t>Lanham : University Press of America, c1986.</t>
        </is>
      </c>
      <c r="O635" t="inlineStr">
        <is>
          <t>1986</t>
        </is>
      </c>
      <c r="Q635" t="inlineStr">
        <is>
          <t>eng</t>
        </is>
      </c>
      <c r="R635" t="inlineStr">
        <is>
          <t>mdu</t>
        </is>
      </c>
      <c r="T635" t="inlineStr">
        <is>
          <t xml:space="preserve">PQ </t>
        </is>
      </c>
      <c r="U635" t="n">
        <v>2</v>
      </c>
      <c r="V635" t="n">
        <v>2</v>
      </c>
      <c r="W635" t="inlineStr">
        <is>
          <t>1998-11-23</t>
        </is>
      </c>
      <c r="X635" t="inlineStr">
        <is>
          <t>1998-11-23</t>
        </is>
      </c>
      <c r="Y635" t="inlineStr">
        <is>
          <t>1991-06-13</t>
        </is>
      </c>
      <c r="Z635" t="inlineStr">
        <is>
          <t>1991-06-13</t>
        </is>
      </c>
      <c r="AA635" t="n">
        <v>167</v>
      </c>
      <c r="AB635" t="n">
        <v>136</v>
      </c>
      <c r="AC635" t="n">
        <v>138</v>
      </c>
      <c r="AD635" t="n">
        <v>3</v>
      </c>
      <c r="AE635" t="n">
        <v>3</v>
      </c>
      <c r="AF635" t="n">
        <v>8</v>
      </c>
      <c r="AG635" t="n">
        <v>8</v>
      </c>
      <c r="AH635" t="n">
        <v>1</v>
      </c>
      <c r="AI635" t="n">
        <v>1</v>
      </c>
      <c r="AJ635" t="n">
        <v>1</v>
      </c>
      <c r="AK635" t="n">
        <v>1</v>
      </c>
      <c r="AL635" t="n">
        <v>5</v>
      </c>
      <c r="AM635" t="n">
        <v>5</v>
      </c>
      <c r="AN635" t="n">
        <v>2</v>
      </c>
      <c r="AO635" t="n">
        <v>2</v>
      </c>
      <c r="AP635" t="n">
        <v>0</v>
      </c>
      <c r="AQ635" t="n">
        <v>0</v>
      </c>
      <c r="AR635" t="inlineStr">
        <is>
          <t>No</t>
        </is>
      </c>
      <c r="AS635" t="inlineStr">
        <is>
          <t>Yes</t>
        </is>
      </c>
      <c r="AT635">
        <f>HYPERLINK("http://catalog.hathitrust.org/Record/000435590","HathiTrust Record")</f>
        <v/>
      </c>
      <c r="AU635">
        <f>HYPERLINK("https://creighton-primo.hosted.exlibrisgroup.com/primo-explore/search?tab=default_tab&amp;search_scope=EVERYTHING&amp;vid=01CRU&amp;lang=en_US&amp;offset=0&amp;query=any,contains,991000783479702656","Catalog Record")</f>
        <v/>
      </c>
      <c r="AV635">
        <f>HYPERLINK("http://www.worldcat.org/oclc/13121223","WorldCat Record")</f>
        <v/>
      </c>
      <c r="AW635" t="inlineStr">
        <is>
          <t>226741995:eng</t>
        </is>
      </c>
      <c r="AX635" t="inlineStr">
        <is>
          <t>13121223</t>
        </is>
      </c>
      <c r="AY635" t="inlineStr">
        <is>
          <t>991000783479702656</t>
        </is>
      </c>
      <c r="AZ635" t="inlineStr">
        <is>
          <t>991000783479702656</t>
        </is>
      </c>
      <c r="BA635" t="inlineStr">
        <is>
          <t>2256241180002656</t>
        </is>
      </c>
      <c r="BB635" t="inlineStr">
        <is>
          <t>BOOK</t>
        </is>
      </c>
      <c r="BD635" t="inlineStr">
        <is>
          <t>9780819152879</t>
        </is>
      </c>
      <c r="BE635" t="inlineStr">
        <is>
          <t>32285000630524</t>
        </is>
      </c>
      <c r="BF635" t="inlineStr">
        <is>
          <t>893509108</t>
        </is>
      </c>
    </row>
    <row r="636">
      <c r="A636" t="inlineStr">
        <is>
          <t>No</t>
        </is>
      </c>
      <c r="B636" t="inlineStr">
        <is>
          <t>CURAL</t>
        </is>
      </c>
      <c r="C636" t="inlineStr">
        <is>
          <t>SHELVES</t>
        </is>
      </c>
      <c r="D636" t="inlineStr">
        <is>
          <t>PQ6498.V5 Z63 1970</t>
        </is>
      </c>
      <c r="E636" t="inlineStr">
        <is>
          <t>0                      PQ 6498000V  5                  Z  63          1970</t>
        </is>
      </c>
      <c r="F636" t="inlineStr">
        <is>
          <t>Horacio en Villegas y en Fray Luis de León / Vittore Bocchetta.</t>
        </is>
      </c>
      <c r="H636" t="inlineStr">
        <is>
          <t>No</t>
        </is>
      </c>
      <c r="I636" t="inlineStr">
        <is>
          <t>1</t>
        </is>
      </c>
      <c r="J636" t="inlineStr">
        <is>
          <t>No</t>
        </is>
      </c>
      <c r="K636" t="inlineStr">
        <is>
          <t>No</t>
        </is>
      </c>
      <c r="L636" t="inlineStr">
        <is>
          <t>0</t>
        </is>
      </c>
      <c r="M636" t="inlineStr">
        <is>
          <t>Bocchetta, Vittore E., 1918-</t>
        </is>
      </c>
      <c r="N636" t="inlineStr">
        <is>
          <t>Madrid : Gredos, [1970]</t>
        </is>
      </c>
      <c r="O636" t="inlineStr">
        <is>
          <t>1970</t>
        </is>
      </c>
      <c r="Q636" t="inlineStr">
        <is>
          <t>spa</t>
        </is>
      </c>
      <c r="R636" t="inlineStr">
        <is>
          <t xml:space="preserve">sp </t>
        </is>
      </c>
      <c r="T636" t="inlineStr">
        <is>
          <t xml:space="preserve">PQ </t>
        </is>
      </c>
      <c r="U636" t="n">
        <v>1</v>
      </c>
      <c r="V636" t="n">
        <v>1</v>
      </c>
      <c r="W636" t="inlineStr">
        <is>
          <t>2005-04-06</t>
        </is>
      </c>
      <c r="X636" t="inlineStr">
        <is>
          <t>2005-04-06</t>
        </is>
      </c>
      <c r="Y636" t="inlineStr">
        <is>
          <t>2005-04-06</t>
        </is>
      </c>
      <c r="Z636" t="inlineStr">
        <is>
          <t>2005-04-06</t>
        </is>
      </c>
      <c r="AA636" t="n">
        <v>189</v>
      </c>
      <c r="AB636" t="n">
        <v>140</v>
      </c>
      <c r="AC636" t="n">
        <v>144</v>
      </c>
      <c r="AD636" t="n">
        <v>2</v>
      </c>
      <c r="AE636" t="n">
        <v>2</v>
      </c>
      <c r="AF636" t="n">
        <v>9</v>
      </c>
      <c r="AG636" t="n">
        <v>9</v>
      </c>
      <c r="AH636" t="n">
        <v>1</v>
      </c>
      <c r="AI636" t="n">
        <v>1</v>
      </c>
      <c r="AJ636" t="n">
        <v>3</v>
      </c>
      <c r="AK636" t="n">
        <v>3</v>
      </c>
      <c r="AL636" t="n">
        <v>5</v>
      </c>
      <c r="AM636" t="n">
        <v>5</v>
      </c>
      <c r="AN636" t="n">
        <v>1</v>
      </c>
      <c r="AO636" t="n">
        <v>1</v>
      </c>
      <c r="AP636" t="n">
        <v>0</v>
      </c>
      <c r="AQ636" t="n">
        <v>0</v>
      </c>
      <c r="AR636" t="inlineStr">
        <is>
          <t>No</t>
        </is>
      </c>
      <c r="AS636" t="inlineStr">
        <is>
          <t>Yes</t>
        </is>
      </c>
      <c r="AT636">
        <f>HYPERLINK("http://catalog.hathitrust.org/Record/001808695","HathiTrust Record")</f>
        <v/>
      </c>
      <c r="AU636">
        <f>HYPERLINK("https://creighton-primo.hosted.exlibrisgroup.com/primo-explore/search?tab=default_tab&amp;search_scope=EVERYTHING&amp;vid=01CRU&amp;lang=en_US&amp;offset=0&amp;query=any,contains,991004523589702656","Catalog Record")</f>
        <v/>
      </c>
      <c r="AV636">
        <f>HYPERLINK("http://www.worldcat.org/oclc/190792","WorldCat Record")</f>
        <v/>
      </c>
      <c r="AW636" t="inlineStr">
        <is>
          <t>148175146:spa</t>
        </is>
      </c>
      <c r="AX636" t="inlineStr">
        <is>
          <t>190792</t>
        </is>
      </c>
      <c r="AY636" t="inlineStr">
        <is>
          <t>991004523589702656</t>
        </is>
      </c>
      <c r="AZ636" t="inlineStr">
        <is>
          <t>991004523589702656</t>
        </is>
      </c>
      <c r="BA636" t="inlineStr">
        <is>
          <t>2259323350002656</t>
        </is>
      </c>
      <c r="BB636" t="inlineStr">
        <is>
          <t>BOOK</t>
        </is>
      </c>
      <c r="BE636" t="inlineStr">
        <is>
          <t>32285005048441</t>
        </is>
      </c>
      <c r="BF636" t="inlineStr">
        <is>
          <t>893442717</t>
        </is>
      </c>
    </row>
    <row r="637">
      <c r="A637" t="inlineStr">
        <is>
          <t>No</t>
        </is>
      </c>
      <c r="B637" t="inlineStr">
        <is>
          <t>CURAL</t>
        </is>
      </c>
      <c r="C637" t="inlineStr">
        <is>
          <t>SHELVES</t>
        </is>
      </c>
      <c r="D637" t="inlineStr">
        <is>
          <t>PQ6509.A2 M3</t>
        </is>
      </c>
      <c r="E637" t="inlineStr">
        <is>
          <t>0                      PQ 6509000A  2                  M  3</t>
        </is>
      </c>
      <c r="F637" t="inlineStr">
        <is>
          <t>The sea gull / translated from the Spanish and with an introd. by Joan Maclean.</t>
        </is>
      </c>
      <c r="H637" t="inlineStr">
        <is>
          <t>No</t>
        </is>
      </c>
      <c r="I637" t="inlineStr">
        <is>
          <t>1</t>
        </is>
      </c>
      <c r="J637" t="inlineStr">
        <is>
          <t>No</t>
        </is>
      </c>
      <c r="K637" t="inlineStr">
        <is>
          <t>No</t>
        </is>
      </c>
      <c r="L637" t="inlineStr">
        <is>
          <t>0</t>
        </is>
      </c>
      <c r="M637" t="inlineStr">
        <is>
          <t>Caballero, Fernán, 1796-1877.</t>
        </is>
      </c>
      <c r="N637" t="inlineStr">
        <is>
          <t>Woodbury, N.Y. : Barron's Education Series, [1965]</t>
        </is>
      </c>
      <c r="O637" t="inlineStr">
        <is>
          <t>1965</t>
        </is>
      </c>
      <c r="Q637" t="inlineStr">
        <is>
          <t>eng</t>
        </is>
      </c>
      <c r="R637" t="inlineStr">
        <is>
          <t>nyu</t>
        </is>
      </c>
      <c r="T637" t="inlineStr">
        <is>
          <t xml:space="preserve">PQ </t>
        </is>
      </c>
      <c r="U637" t="n">
        <v>2</v>
      </c>
      <c r="V637" t="n">
        <v>2</v>
      </c>
      <c r="W637" t="inlineStr">
        <is>
          <t>1996-02-24</t>
        </is>
      </c>
      <c r="X637" t="inlineStr">
        <is>
          <t>1996-02-24</t>
        </is>
      </c>
      <c r="Y637" t="inlineStr">
        <is>
          <t>1991-06-13</t>
        </is>
      </c>
      <c r="Z637" t="inlineStr">
        <is>
          <t>1991-06-13</t>
        </is>
      </c>
      <c r="AA637" t="n">
        <v>297</v>
      </c>
      <c r="AB637" t="n">
        <v>284</v>
      </c>
      <c r="AC637" t="n">
        <v>329</v>
      </c>
      <c r="AD637" t="n">
        <v>3</v>
      </c>
      <c r="AE637" t="n">
        <v>3</v>
      </c>
      <c r="AF637" t="n">
        <v>12</v>
      </c>
      <c r="AG637" t="n">
        <v>13</v>
      </c>
      <c r="AH637" t="n">
        <v>5</v>
      </c>
      <c r="AI637" t="n">
        <v>5</v>
      </c>
      <c r="AJ637" t="n">
        <v>2</v>
      </c>
      <c r="AK637" t="n">
        <v>3</v>
      </c>
      <c r="AL637" t="n">
        <v>6</v>
      </c>
      <c r="AM637" t="n">
        <v>6</v>
      </c>
      <c r="AN637" t="n">
        <v>2</v>
      </c>
      <c r="AO637" t="n">
        <v>2</v>
      </c>
      <c r="AP637" t="n">
        <v>0</v>
      </c>
      <c r="AQ637" t="n">
        <v>0</v>
      </c>
      <c r="AR637" t="inlineStr">
        <is>
          <t>No</t>
        </is>
      </c>
      <c r="AS637" t="inlineStr">
        <is>
          <t>No</t>
        </is>
      </c>
      <c r="AU637">
        <f>HYPERLINK("https://creighton-primo.hosted.exlibrisgroup.com/primo-explore/search?tab=default_tab&amp;search_scope=EVERYTHING&amp;vid=01CRU&amp;lang=en_US&amp;offset=0&amp;query=any,contains,991003646419702656","Catalog Record")</f>
        <v/>
      </c>
      <c r="AV637">
        <f>HYPERLINK("http://www.worldcat.org/oclc/1248094","WorldCat Record")</f>
        <v/>
      </c>
      <c r="AW637" t="inlineStr">
        <is>
          <t>3081988:eng</t>
        </is>
      </c>
      <c r="AX637" t="inlineStr">
        <is>
          <t>1248094</t>
        </is>
      </c>
      <c r="AY637" t="inlineStr">
        <is>
          <t>991003646419702656</t>
        </is>
      </c>
      <c r="AZ637" t="inlineStr">
        <is>
          <t>991003646419702656</t>
        </is>
      </c>
      <c r="BA637" t="inlineStr">
        <is>
          <t>2264227070002656</t>
        </is>
      </c>
      <c r="BB637" t="inlineStr">
        <is>
          <t>BOOK</t>
        </is>
      </c>
      <c r="BE637" t="inlineStr">
        <is>
          <t>32285000630649</t>
        </is>
      </c>
      <c r="BF637" t="inlineStr">
        <is>
          <t>893592726</t>
        </is>
      </c>
    </row>
    <row r="638">
      <c r="A638" t="inlineStr">
        <is>
          <t>No</t>
        </is>
      </c>
      <c r="B638" t="inlineStr">
        <is>
          <t>CURAL</t>
        </is>
      </c>
      <c r="C638" t="inlineStr">
        <is>
          <t>SHELVES</t>
        </is>
      </c>
      <c r="D638" t="inlineStr">
        <is>
          <t>PQ6512.C226 Z698 1968</t>
        </is>
      </c>
      <c r="E638" t="inlineStr">
        <is>
          <t>0                      PQ 6512000C  226                Z  698         1968</t>
        </is>
      </c>
      <c r="F638" t="inlineStr">
        <is>
          <t>Manner and mood in Rosalia de Castro : a study of themes and style / por Kathleen K. Kulp.</t>
        </is>
      </c>
      <c r="H638" t="inlineStr">
        <is>
          <t>No</t>
        </is>
      </c>
      <c r="I638" t="inlineStr">
        <is>
          <t>1</t>
        </is>
      </c>
      <c r="J638" t="inlineStr">
        <is>
          <t>No</t>
        </is>
      </c>
      <c r="K638" t="inlineStr">
        <is>
          <t>No</t>
        </is>
      </c>
      <c r="L638" t="inlineStr">
        <is>
          <t>0</t>
        </is>
      </c>
      <c r="M638" t="inlineStr">
        <is>
          <t>Kulp, Kathleen K.</t>
        </is>
      </c>
      <c r="N638" t="inlineStr">
        <is>
          <t>Madrid : J. Porrua Turanzas, 1968.</t>
        </is>
      </c>
      <c r="O638" t="inlineStr">
        <is>
          <t>1968</t>
        </is>
      </c>
      <c r="Q638" t="inlineStr">
        <is>
          <t>eng</t>
        </is>
      </c>
      <c r="R638" t="inlineStr">
        <is>
          <t xml:space="preserve">sp </t>
        </is>
      </c>
      <c r="S638" t="inlineStr">
        <is>
          <t>Bibliotheca tenanitla. Libros españoles e hispanoamericanos, 11</t>
        </is>
      </c>
      <c r="T638" t="inlineStr">
        <is>
          <t xml:space="preserve">PQ </t>
        </is>
      </c>
      <c r="U638" t="n">
        <v>1</v>
      </c>
      <c r="V638" t="n">
        <v>1</v>
      </c>
      <c r="W638" t="inlineStr">
        <is>
          <t>2005-04-06</t>
        </is>
      </c>
      <c r="X638" t="inlineStr">
        <is>
          <t>2005-04-06</t>
        </is>
      </c>
      <c r="Y638" t="inlineStr">
        <is>
          <t>2005-04-06</t>
        </is>
      </c>
      <c r="Z638" t="inlineStr">
        <is>
          <t>2005-04-06</t>
        </is>
      </c>
      <c r="AA638" t="n">
        <v>167</v>
      </c>
      <c r="AB638" t="n">
        <v>135</v>
      </c>
      <c r="AC638" t="n">
        <v>145</v>
      </c>
      <c r="AD638" t="n">
        <v>1</v>
      </c>
      <c r="AE638" t="n">
        <v>1</v>
      </c>
      <c r="AF638" t="n">
        <v>6</v>
      </c>
      <c r="AG638" t="n">
        <v>6</v>
      </c>
      <c r="AH638" t="n">
        <v>2</v>
      </c>
      <c r="AI638" t="n">
        <v>2</v>
      </c>
      <c r="AJ638" t="n">
        <v>2</v>
      </c>
      <c r="AK638" t="n">
        <v>2</v>
      </c>
      <c r="AL638" t="n">
        <v>3</v>
      </c>
      <c r="AM638" t="n">
        <v>3</v>
      </c>
      <c r="AN638" t="n">
        <v>0</v>
      </c>
      <c r="AO638" t="n">
        <v>0</v>
      </c>
      <c r="AP638" t="n">
        <v>0</v>
      </c>
      <c r="AQ638" t="n">
        <v>0</v>
      </c>
      <c r="AR638" t="inlineStr">
        <is>
          <t>No</t>
        </is>
      </c>
      <c r="AS638" t="inlineStr">
        <is>
          <t>Yes</t>
        </is>
      </c>
      <c r="AT638">
        <f>HYPERLINK("http://catalog.hathitrust.org/Record/001523674","HathiTrust Record")</f>
        <v/>
      </c>
      <c r="AU638">
        <f>HYPERLINK("https://creighton-primo.hosted.exlibrisgroup.com/primo-explore/search?tab=default_tab&amp;search_scope=EVERYTHING&amp;vid=01CRU&amp;lang=en_US&amp;offset=0&amp;query=any,contains,991004523379702656","Catalog Record")</f>
        <v/>
      </c>
      <c r="AV638">
        <f>HYPERLINK("http://www.worldcat.org/oclc/241869","WorldCat Record")</f>
        <v/>
      </c>
      <c r="AW638" t="inlineStr">
        <is>
          <t>1388329:eng</t>
        </is>
      </c>
      <c r="AX638" t="inlineStr">
        <is>
          <t>241869</t>
        </is>
      </c>
      <c r="AY638" t="inlineStr">
        <is>
          <t>991004523379702656</t>
        </is>
      </c>
      <c r="AZ638" t="inlineStr">
        <is>
          <t>991004523379702656</t>
        </is>
      </c>
      <c r="BA638" t="inlineStr">
        <is>
          <t>2271704590002656</t>
        </is>
      </c>
      <c r="BB638" t="inlineStr">
        <is>
          <t>BOOK</t>
        </is>
      </c>
      <c r="BE638" t="inlineStr">
        <is>
          <t>32285005048508</t>
        </is>
      </c>
      <c r="BF638" t="inlineStr">
        <is>
          <t>893876206</t>
        </is>
      </c>
    </row>
    <row r="639">
      <c r="A639" t="inlineStr">
        <is>
          <t>No</t>
        </is>
      </c>
      <c r="B639" t="inlineStr">
        <is>
          <t>CURAL</t>
        </is>
      </c>
      <c r="C639" t="inlineStr">
        <is>
          <t>SHELVES</t>
        </is>
      </c>
      <c r="D639" t="inlineStr">
        <is>
          <t>PQ6523.F37 C5 1975</t>
        </is>
      </c>
      <c r="E639" t="inlineStr">
        <is>
          <t>0                      PQ 6523000F  37                 C  5           1975</t>
        </is>
      </c>
      <c r="F639" t="inlineStr">
        <is>
          <t>El Cid Campeador / M. Fernández y González.</t>
        </is>
      </c>
      <c r="H639" t="inlineStr">
        <is>
          <t>No</t>
        </is>
      </c>
      <c r="I639" t="inlineStr">
        <is>
          <t>1</t>
        </is>
      </c>
      <c r="J639" t="inlineStr">
        <is>
          <t>No</t>
        </is>
      </c>
      <c r="K639" t="inlineStr">
        <is>
          <t>No</t>
        </is>
      </c>
      <c r="L639" t="inlineStr">
        <is>
          <t>0</t>
        </is>
      </c>
      <c r="M639" t="inlineStr">
        <is>
          <t>Fernández y González, Manuel, 1821-1888.</t>
        </is>
      </c>
      <c r="N639" t="inlineStr">
        <is>
          <t>Madrid : Tebas, [1975?]</t>
        </is>
      </c>
      <c r="O639" t="inlineStr">
        <is>
          <t>1975</t>
        </is>
      </c>
      <c r="Q639" t="inlineStr">
        <is>
          <t>spa</t>
        </is>
      </c>
      <c r="R639" t="inlineStr">
        <is>
          <t xml:space="preserve">sp </t>
        </is>
      </c>
      <c r="S639" t="inlineStr">
        <is>
          <t>La Novela histórica española ; 2</t>
        </is>
      </c>
      <c r="T639" t="inlineStr">
        <is>
          <t xml:space="preserve">PQ </t>
        </is>
      </c>
      <c r="U639" t="n">
        <v>2</v>
      </c>
      <c r="V639" t="n">
        <v>2</v>
      </c>
      <c r="W639" t="inlineStr">
        <is>
          <t>1996-09-30</t>
        </is>
      </c>
      <c r="X639" t="inlineStr">
        <is>
          <t>1996-09-30</t>
        </is>
      </c>
      <c r="Y639" t="inlineStr">
        <is>
          <t>1991-06-25</t>
        </is>
      </c>
      <c r="Z639" t="inlineStr">
        <is>
          <t>1991-06-25</t>
        </is>
      </c>
      <c r="AA639" t="n">
        <v>28</v>
      </c>
      <c r="AB639" t="n">
        <v>12</v>
      </c>
      <c r="AC639" t="n">
        <v>23</v>
      </c>
      <c r="AD639" t="n">
        <v>1</v>
      </c>
      <c r="AE639" t="n">
        <v>1</v>
      </c>
      <c r="AF639" t="n">
        <v>2</v>
      </c>
      <c r="AG639" t="n">
        <v>3</v>
      </c>
      <c r="AH639" t="n">
        <v>0</v>
      </c>
      <c r="AI639" t="n">
        <v>0</v>
      </c>
      <c r="AJ639" t="n">
        <v>1</v>
      </c>
      <c r="AK639" t="n">
        <v>2</v>
      </c>
      <c r="AL639" t="n">
        <v>2</v>
      </c>
      <c r="AM639" t="n">
        <v>2</v>
      </c>
      <c r="AN639" t="n">
        <v>0</v>
      </c>
      <c r="AO639" t="n">
        <v>0</v>
      </c>
      <c r="AP639" t="n">
        <v>0</v>
      </c>
      <c r="AQ639" t="n">
        <v>0</v>
      </c>
      <c r="AR639" t="inlineStr">
        <is>
          <t>No</t>
        </is>
      </c>
      <c r="AS639" t="inlineStr">
        <is>
          <t>Yes</t>
        </is>
      </c>
      <c r="AT639">
        <f>HYPERLINK("http://catalog.hathitrust.org/Record/011231741","HathiTrust Record")</f>
        <v/>
      </c>
      <c r="AU639">
        <f>HYPERLINK("https://creighton-primo.hosted.exlibrisgroup.com/primo-explore/search?tab=default_tab&amp;search_scope=EVERYTHING&amp;vid=01CRU&amp;lang=en_US&amp;offset=0&amp;query=any,contains,991004130469702656","Catalog Record")</f>
        <v/>
      </c>
      <c r="AV639">
        <f>HYPERLINK("http://www.worldcat.org/oclc/2467745","WorldCat Record")</f>
        <v/>
      </c>
      <c r="AW639" t="inlineStr">
        <is>
          <t>355020478:spa</t>
        </is>
      </c>
      <c r="AX639" t="inlineStr">
        <is>
          <t>2467745</t>
        </is>
      </c>
      <c r="AY639" t="inlineStr">
        <is>
          <t>991004130469702656</t>
        </is>
      </c>
      <c r="AZ639" t="inlineStr">
        <is>
          <t>991004130469702656</t>
        </is>
      </c>
      <c r="BA639" t="inlineStr">
        <is>
          <t>2269749370002656</t>
        </is>
      </c>
      <c r="BB639" t="inlineStr">
        <is>
          <t>BOOK</t>
        </is>
      </c>
      <c r="BD639" t="inlineStr">
        <is>
          <t>9788472730618</t>
        </is>
      </c>
      <c r="BE639" t="inlineStr">
        <is>
          <t>32285000631720</t>
        </is>
      </c>
      <c r="BF639" t="inlineStr">
        <is>
          <t>893525691</t>
        </is>
      </c>
    </row>
    <row r="640">
      <c r="A640" t="inlineStr">
        <is>
          <t>No</t>
        </is>
      </c>
      <c r="B640" t="inlineStr">
        <is>
          <t>CURAL</t>
        </is>
      </c>
      <c r="C640" t="inlineStr">
        <is>
          <t>SHELVES</t>
        </is>
      </c>
      <c r="D640" t="inlineStr">
        <is>
          <t>PQ6525 .H37</t>
        </is>
      </c>
      <c r="E640" t="inlineStr">
        <is>
          <t>0                      PQ 6525000H  37</t>
        </is>
      </c>
      <c r="F640" t="inlineStr">
        <is>
          <t>Gertrudis Gómez de Avellaneda / by Hugh A. Harter.</t>
        </is>
      </c>
      <c r="H640" t="inlineStr">
        <is>
          <t>No</t>
        </is>
      </c>
      <c r="I640" t="inlineStr">
        <is>
          <t>1</t>
        </is>
      </c>
      <c r="J640" t="inlineStr">
        <is>
          <t>No</t>
        </is>
      </c>
      <c r="K640" t="inlineStr">
        <is>
          <t>No</t>
        </is>
      </c>
      <c r="L640" t="inlineStr">
        <is>
          <t>0</t>
        </is>
      </c>
      <c r="M640" t="inlineStr">
        <is>
          <t>Harter, Hugh A.</t>
        </is>
      </c>
      <c r="N640" t="inlineStr">
        <is>
          <t>Boston : Twayne Publishers, [1981]</t>
        </is>
      </c>
      <c r="O640" t="inlineStr">
        <is>
          <t>1981</t>
        </is>
      </c>
      <c r="Q640" t="inlineStr">
        <is>
          <t>eng</t>
        </is>
      </c>
      <c r="R640" t="inlineStr">
        <is>
          <t>mau</t>
        </is>
      </c>
      <c r="S640" t="inlineStr">
        <is>
          <t>Twayne's world authors series ; TWAS 599 : Spain</t>
        </is>
      </c>
      <c r="T640" t="inlineStr">
        <is>
          <t xml:space="preserve">PQ </t>
        </is>
      </c>
      <c r="U640" t="n">
        <v>1</v>
      </c>
      <c r="V640" t="n">
        <v>1</v>
      </c>
      <c r="W640" t="inlineStr">
        <is>
          <t>1998-11-25</t>
        </is>
      </c>
      <c r="X640" t="inlineStr">
        <is>
          <t>1998-11-25</t>
        </is>
      </c>
      <c r="Y640" t="inlineStr">
        <is>
          <t>1991-06-25</t>
        </is>
      </c>
      <c r="Z640" t="inlineStr">
        <is>
          <t>1991-06-25</t>
        </is>
      </c>
      <c r="AA640" t="n">
        <v>502</v>
      </c>
      <c r="AB640" t="n">
        <v>436</v>
      </c>
      <c r="AC640" t="n">
        <v>438</v>
      </c>
      <c r="AD640" t="n">
        <v>3</v>
      </c>
      <c r="AE640" t="n">
        <v>3</v>
      </c>
      <c r="AF640" t="n">
        <v>22</v>
      </c>
      <c r="AG640" t="n">
        <v>22</v>
      </c>
      <c r="AH640" t="n">
        <v>9</v>
      </c>
      <c r="AI640" t="n">
        <v>9</v>
      </c>
      <c r="AJ640" t="n">
        <v>5</v>
      </c>
      <c r="AK640" t="n">
        <v>5</v>
      </c>
      <c r="AL640" t="n">
        <v>14</v>
      </c>
      <c r="AM640" t="n">
        <v>14</v>
      </c>
      <c r="AN640" t="n">
        <v>2</v>
      </c>
      <c r="AO640" t="n">
        <v>2</v>
      </c>
      <c r="AP640" t="n">
        <v>0</v>
      </c>
      <c r="AQ640" t="n">
        <v>0</v>
      </c>
      <c r="AR640" t="inlineStr">
        <is>
          <t>No</t>
        </is>
      </c>
      <c r="AS640" t="inlineStr">
        <is>
          <t>Yes</t>
        </is>
      </c>
      <c r="AT640">
        <f>HYPERLINK("http://catalog.hathitrust.org/Record/000086350","HathiTrust Record")</f>
        <v/>
      </c>
      <c r="AU640">
        <f>HYPERLINK("https://creighton-primo.hosted.exlibrisgroup.com/primo-explore/search?tab=default_tab&amp;search_scope=EVERYTHING&amp;vid=01CRU&amp;lang=en_US&amp;offset=0&amp;query=any,contains,991005037749702656","Catalog Record")</f>
        <v/>
      </c>
      <c r="AV640">
        <f>HYPERLINK("http://www.worldcat.org/oclc/6762729","WorldCat Record")</f>
        <v/>
      </c>
      <c r="AW640" t="inlineStr">
        <is>
          <t>23852018:eng</t>
        </is>
      </c>
      <c r="AX640" t="inlineStr">
        <is>
          <t>6762729</t>
        </is>
      </c>
      <c r="AY640" t="inlineStr">
        <is>
          <t>991005037749702656</t>
        </is>
      </c>
      <c r="AZ640" t="inlineStr">
        <is>
          <t>991005037749702656</t>
        </is>
      </c>
      <c r="BA640" t="inlineStr">
        <is>
          <t>2262909910002656</t>
        </is>
      </c>
      <c r="BB640" t="inlineStr">
        <is>
          <t>BOOK</t>
        </is>
      </c>
      <c r="BD640" t="inlineStr">
        <is>
          <t>9780805764413</t>
        </is>
      </c>
      <c r="BE640" t="inlineStr">
        <is>
          <t>32285000631811</t>
        </is>
      </c>
      <c r="BF640" t="inlineStr">
        <is>
          <t>893707157</t>
        </is>
      </c>
    </row>
    <row r="641">
      <c r="A641" t="inlineStr">
        <is>
          <t>No</t>
        </is>
      </c>
      <c r="B641" t="inlineStr">
        <is>
          <t>CURAL</t>
        </is>
      </c>
      <c r="C641" t="inlineStr">
        <is>
          <t>SHELVES</t>
        </is>
      </c>
      <c r="D641" t="inlineStr">
        <is>
          <t>PQ653 .M4 1995</t>
        </is>
      </c>
      <c r="E641" t="inlineStr">
        <is>
          <t>0                      PQ 0653000M  4           1995</t>
        </is>
      </c>
      <c r="F641" t="inlineStr">
        <is>
          <t>Writing in parts : imitation and exchange in nineteenth-century literature / Kevin McLaughlin.</t>
        </is>
      </c>
      <c r="H641" t="inlineStr">
        <is>
          <t>No</t>
        </is>
      </c>
      <c r="I641" t="inlineStr">
        <is>
          <t>1</t>
        </is>
      </c>
      <c r="J641" t="inlineStr">
        <is>
          <t>No</t>
        </is>
      </c>
      <c r="K641" t="inlineStr">
        <is>
          <t>No</t>
        </is>
      </c>
      <c r="L641" t="inlineStr">
        <is>
          <t>0</t>
        </is>
      </c>
      <c r="M641" t="inlineStr">
        <is>
          <t>McLaughlin, Kevin, 1959-</t>
        </is>
      </c>
      <c r="N641" t="inlineStr">
        <is>
          <t>Stanford, Calif. : Stanford University Press, 1995.</t>
        </is>
      </c>
      <c r="O641" t="inlineStr">
        <is>
          <t>1995</t>
        </is>
      </c>
      <c r="Q641" t="inlineStr">
        <is>
          <t>eng</t>
        </is>
      </c>
      <c r="R641" t="inlineStr">
        <is>
          <t>cau</t>
        </is>
      </c>
      <c r="T641" t="inlineStr">
        <is>
          <t xml:space="preserve">PQ </t>
        </is>
      </c>
      <c r="U641" t="n">
        <v>4</v>
      </c>
      <c r="V641" t="n">
        <v>4</v>
      </c>
      <c r="W641" t="inlineStr">
        <is>
          <t>1999-09-18</t>
        </is>
      </c>
      <c r="X641" t="inlineStr">
        <is>
          <t>1999-09-18</t>
        </is>
      </c>
      <c r="Y641" t="inlineStr">
        <is>
          <t>1996-06-17</t>
        </is>
      </c>
      <c r="Z641" t="inlineStr">
        <is>
          <t>1996-06-17</t>
        </is>
      </c>
      <c r="AA641" t="n">
        <v>314</v>
      </c>
      <c r="AB641" t="n">
        <v>249</v>
      </c>
      <c r="AC641" t="n">
        <v>249</v>
      </c>
      <c r="AD641" t="n">
        <v>3</v>
      </c>
      <c r="AE641" t="n">
        <v>3</v>
      </c>
      <c r="AF641" t="n">
        <v>15</v>
      </c>
      <c r="AG641" t="n">
        <v>15</v>
      </c>
      <c r="AH641" t="n">
        <v>4</v>
      </c>
      <c r="AI641" t="n">
        <v>4</v>
      </c>
      <c r="AJ641" t="n">
        <v>5</v>
      </c>
      <c r="AK641" t="n">
        <v>5</v>
      </c>
      <c r="AL641" t="n">
        <v>9</v>
      </c>
      <c r="AM641" t="n">
        <v>9</v>
      </c>
      <c r="AN641" t="n">
        <v>2</v>
      </c>
      <c r="AO641" t="n">
        <v>2</v>
      </c>
      <c r="AP641" t="n">
        <v>0</v>
      </c>
      <c r="AQ641" t="n">
        <v>0</v>
      </c>
      <c r="AR641" t="inlineStr">
        <is>
          <t>No</t>
        </is>
      </c>
      <c r="AS641" t="inlineStr">
        <is>
          <t>No</t>
        </is>
      </c>
      <c r="AU641">
        <f>HYPERLINK("https://creighton-primo.hosted.exlibrisgroup.com/primo-explore/search?tab=default_tab&amp;search_scope=EVERYTHING&amp;vid=01CRU&amp;lang=en_US&amp;offset=0&amp;query=any,contains,991002410789702656","Catalog Record")</f>
        <v/>
      </c>
      <c r="AV641">
        <f>HYPERLINK("http://www.worldcat.org/oclc/31376114","WorldCat Record")</f>
        <v/>
      </c>
      <c r="AW641" t="inlineStr">
        <is>
          <t>318778635:eng</t>
        </is>
      </c>
      <c r="AX641" t="inlineStr">
        <is>
          <t>31376114</t>
        </is>
      </c>
      <c r="AY641" t="inlineStr">
        <is>
          <t>991002410789702656</t>
        </is>
      </c>
      <c r="AZ641" t="inlineStr">
        <is>
          <t>991002410789702656</t>
        </is>
      </c>
      <c r="BA641" t="inlineStr">
        <is>
          <t>2254896430002656</t>
        </is>
      </c>
      <c r="BB641" t="inlineStr">
        <is>
          <t>BOOK</t>
        </is>
      </c>
      <c r="BD641" t="inlineStr">
        <is>
          <t>9780804724111</t>
        </is>
      </c>
      <c r="BE641" t="inlineStr">
        <is>
          <t>32285002193273</t>
        </is>
      </c>
      <c r="BF641" t="inlineStr">
        <is>
          <t>893603566</t>
        </is>
      </c>
    </row>
    <row r="642">
      <c r="A642" t="inlineStr">
        <is>
          <t>No</t>
        </is>
      </c>
      <c r="B642" t="inlineStr">
        <is>
          <t>CURAL</t>
        </is>
      </c>
      <c r="C642" t="inlineStr">
        <is>
          <t>SHELVES</t>
        </is>
      </c>
      <c r="D642" t="inlineStr">
        <is>
          <t>PQ653 .S26 1997</t>
        </is>
      </c>
      <c r="E642" t="inlineStr">
        <is>
          <t>0                      PQ 0653000S  26          1997</t>
        </is>
      </c>
      <c r="F642" t="inlineStr">
        <is>
          <t>Rendering French realism / Lawrence R. Schehr.</t>
        </is>
      </c>
      <c r="H642" t="inlineStr">
        <is>
          <t>No</t>
        </is>
      </c>
      <c r="I642" t="inlineStr">
        <is>
          <t>1</t>
        </is>
      </c>
      <c r="J642" t="inlineStr">
        <is>
          <t>No</t>
        </is>
      </c>
      <c r="K642" t="inlineStr">
        <is>
          <t>No</t>
        </is>
      </c>
      <c r="L642" t="inlineStr">
        <is>
          <t>0</t>
        </is>
      </c>
      <c r="M642" t="inlineStr">
        <is>
          <t>Schehr, Lawrence R.</t>
        </is>
      </c>
      <c r="N642" t="inlineStr">
        <is>
          <t>Stanford, Calif. : Stanford University Press, 1997.</t>
        </is>
      </c>
      <c r="O642" t="inlineStr">
        <is>
          <t>1997</t>
        </is>
      </c>
      <c r="Q642" t="inlineStr">
        <is>
          <t>eng</t>
        </is>
      </c>
      <c r="R642" t="inlineStr">
        <is>
          <t>cau</t>
        </is>
      </c>
      <c r="T642" t="inlineStr">
        <is>
          <t xml:space="preserve">PQ </t>
        </is>
      </c>
      <c r="U642" t="n">
        <v>1</v>
      </c>
      <c r="V642" t="n">
        <v>1</v>
      </c>
      <c r="W642" t="inlineStr">
        <is>
          <t>2003-04-24</t>
        </is>
      </c>
      <c r="X642" t="inlineStr">
        <is>
          <t>2003-04-24</t>
        </is>
      </c>
      <c r="Y642" t="inlineStr">
        <is>
          <t>2003-04-24</t>
        </is>
      </c>
      <c r="Z642" t="inlineStr">
        <is>
          <t>2003-04-24</t>
        </is>
      </c>
      <c r="AA642" t="n">
        <v>320</v>
      </c>
      <c r="AB642" t="n">
        <v>251</v>
      </c>
      <c r="AC642" t="n">
        <v>558</v>
      </c>
      <c r="AD642" t="n">
        <v>3</v>
      </c>
      <c r="AE642" t="n">
        <v>6</v>
      </c>
      <c r="AF642" t="n">
        <v>12</v>
      </c>
      <c r="AG642" t="n">
        <v>28</v>
      </c>
      <c r="AH642" t="n">
        <v>3</v>
      </c>
      <c r="AI642" t="n">
        <v>8</v>
      </c>
      <c r="AJ642" t="n">
        <v>3</v>
      </c>
      <c r="AK642" t="n">
        <v>8</v>
      </c>
      <c r="AL642" t="n">
        <v>7</v>
      </c>
      <c r="AM642" t="n">
        <v>11</v>
      </c>
      <c r="AN642" t="n">
        <v>2</v>
      </c>
      <c r="AO642" t="n">
        <v>5</v>
      </c>
      <c r="AP642" t="n">
        <v>0</v>
      </c>
      <c r="AQ642" t="n">
        <v>1</v>
      </c>
      <c r="AR642" t="inlineStr">
        <is>
          <t>No</t>
        </is>
      </c>
      <c r="AS642" t="inlineStr">
        <is>
          <t>No</t>
        </is>
      </c>
      <c r="AU642">
        <f>HYPERLINK("https://creighton-primo.hosted.exlibrisgroup.com/primo-explore/search?tab=default_tab&amp;search_scope=EVERYTHING&amp;vid=01CRU&amp;lang=en_US&amp;offset=0&amp;query=any,contains,991004023279702656","Catalog Record")</f>
        <v/>
      </c>
      <c r="AV642">
        <f>HYPERLINK("http://www.worldcat.org/oclc/35235742","WorldCat Record")</f>
        <v/>
      </c>
      <c r="AW642" t="inlineStr">
        <is>
          <t>5481493278:eng</t>
        </is>
      </c>
      <c r="AX642" t="inlineStr">
        <is>
          <t>35235742</t>
        </is>
      </c>
      <c r="AY642" t="inlineStr">
        <is>
          <t>991004023279702656</t>
        </is>
      </c>
      <c r="AZ642" t="inlineStr">
        <is>
          <t>991004023279702656</t>
        </is>
      </c>
      <c r="BA642" t="inlineStr">
        <is>
          <t>2254841900002656</t>
        </is>
      </c>
      <c r="BB642" t="inlineStr">
        <is>
          <t>BOOK</t>
        </is>
      </c>
      <c r="BD642" t="inlineStr">
        <is>
          <t>9780804727877</t>
        </is>
      </c>
      <c r="BE642" t="inlineStr">
        <is>
          <t>32285004743539</t>
        </is>
      </c>
      <c r="BF642" t="inlineStr">
        <is>
          <t>893875595</t>
        </is>
      </c>
    </row>
    <row r="643">
      <c r="A643" t="inlineStr">
        <is>
          <t>No</t>
        </is>
      </c>
      <c r="B643" t="inlineStr">
        <is>
          <t>CURAL</t>
        </is>
      </c>
      <c r="C643" t="inlineStr">
        <is>
          <t>SHELVES</t>
        </is>
      </c>
      <c r="D643" t="inlineStr">
        <is>
          <t>PQ6534.L4 Z72 1951</t>
        </is>
      </c>
      <c r="E643" t="inlineStr">
        <is>
          <t>0                      PQ 6534000L  4                  Z  72          1951</t>
        </is>
      </c>
      <c r="F643" t="inlineStr">
        <is>
          <t>Vida, obra y pensamiento de Alberto Lista / Hans Juretschke.</t>
        </is>
      </c>
      <c r="H643" t="inlineStr">
        <is>
          <t>No</t>
        </is>
      </c>
      <c r="I643" t="inlineStr">
        <is>
          <t>1</t>
        </is>
      </c>
      <c r="J643" t="inlineStr">
        <is>
          <t>No</t>
        </is>
      </c>
      <c r="K643" t="inlineStr">
        <is>
          <t>No</t>
        </is>
      </c>
      <c r="L643" t="inlineStr">
        <is>
          <t>0</t>
        </is>
      </c>
      <c r="M643" t="inlineStr">
        <is>
          <t>Juretschke, Hans, 1909-</t>
        </is>
      </c>
      <c r="N643" t="inlineStr">
        <is>
          <t>Madrid : Consejo Superior de Investigaciones Científicas, Escuela de Historia Moderna, 1951.</t>
        </is>
      </c>
      <c r="O643" t="inlineStr">
        <is>
          <t>1951</t>
        </is>
      </c>
      <c r="Q643" t="inlineStr">
        <is>
          <t>spa</t>
        </is>
      </c>
      <c r="R643" t="inlineStr">
        <is>
          <t>___</t>
        </is>
      </c>
      <c r="T643" t="inlineStr">
        <is>
          <t xml:space="preserve">PQ </t>
        </is>
      </c>
      <c r="U643" t="n">
        <v>0</v>
      </c>
      <c r="V643" t="n">
        <v>0</v>
      </c>
      <c r="W643" t="inlineStr">
        <is>
          <t>2002-06-04</t>
        </is>
      </c>
      <c r="X643" t="inlineStr">
        <is>
          <t>2002-06-04</t>
        </is>
      </c>
      <c r="Y643" t="inlineStr">
        <is>
          <t>1991-06-25</t>
        </is>
      </c>
      <c r="Z643" t="inlineStr">
        <is>
          <t>1991-06-25</t>
        </is>
      </c>
      <c r="AA643" t="n">
        <v>144</v>
      </c>
      <c r="AB643" t="n">
        <v>102</v>
      </c>
      <c r="AC643" t="n">
        <v>104</v>
      </c>
      <c r="AD643" t="n">
        <v>1</v>
      </c>
      <c r="AE643" t="n">
        <v>1</v>
      </c>
      <c r="AF643" t="n">
        <v>5</v>
      </c>
      <c r="AG643" t="n">
        <v>5</v>
      </c>
      <c r="AH643" t="n">
        <v>0</v>
      </c>
      <c r="AI643" t="n">
        <v>0</v>
      </c>
      <c r="AJ643" t="n">
        <v>3</v>
      </c>
      <c r="AK643" t="n">
        <v>3</v>
      </c>
      <c r="AL643" t="n">
        <v>3</v>
      </c>
      <c r="AM643" t="n">
        <v>3</v>
      </c>
      <c r="AN643" t="n">
        <v>0</v>
      </c>
      <c r="AO643" t="n">
        <v>0</v>
      </c>
      <c r="AP643" t="n">
        <v>0</v>
      </c>
      <c r="AQ643" t="n">
        <v>0</v>
      </c>
      <c r="AR643" t="inlineStr">
        <is>
          <t>No</t>
        </is>
      </c>
      <c r="AS643" t="inlineStr">
        <is>
          <t>Yes</t>
        </is>
      </c>
      <c r="AT643">
        <f>HYPERLINK("http://catalog.hathitrust.org/Record/001052242","HathiTrust Record")</f>
        <v/>
      </c>
      <c r="AU643">
        <f>HYPERLINK("https://creighton-primo.hosted.exlibrisgroup.com/primo-explore/search?tab=default_tab&amp;search_scope=EVERYTHING&amp;vid=01CRU&amp;lang=en_US&amp;offset=0&amp;query=any,contains,991003021229702656","Catalog Record")</f>
        <v/>
      </c>
      <c r="AV643">
        <f>HYPERLINK("http://www.worldcat.org/oclc/585876","WorldCat Record")</f>
        <v/>
      </c>
      <c r="AW643" t="inlineStr">
        <is>
          <t>1752538:spa</t>
        </is>
      </c>
      <c r="AX643" t="inlineStr">
        <is>
          <t>585876</t>
        </is>
      </c>
      <c r="AY643" t="inlineStr">
        <is>
          <t>991003021229702656</t>
        </is>
      </c>
      <c r="AZ643" t="inlineStr">
        <is>
          <t>991003021229702656</t>
        </is>
      </c>
      <c r="BA643" t="inlineStr">
        <is>
          <t>2269476820002656</t>
        </is>
      </c>
      <c r="BB643" t="inlineStr">
        <is>
          <t>BOOK</t>
        </is>
      </c>
      <c r="BE643" t="inlineStr">
        <is>
          <t>32285000631878</t>
        </is>
      </c>
      <c r="BF643" t="inlineStr">
        <is>
          <t>893710969</t>
        </is>
      </c>
    </row>
    <row r="644">
      <c r="A644" t="inlineStr">
        <is>
          <t>No</t>
        </is>
      </c>
      <c r="B644" t="inlineStr">
        <is>
          <t>CURAL</t>
        </is>
      </c>
      <c r="C644" t="inlineStr">
        <is>
          <t>SHELVES</t>
        </is>
      </c>
      <c r="D644" t="inlineStr">
        <is>
          <t>PQ6544 .D6</t>
        </is>
      </c>
      <c r="E644" t="inlineStr">
        <is>
          <t>0                      PQ 6544000D  6</t>
        </is>
      </c>
      <c r="F644" t="inlineStr">
        <is>
          <t>Leandro Fernández de Moratín / by John Dowling.</t>
        </is>
      </c>
      <c r="H644" t="inlineStr">
        <is>
          <t>No</t>
        </is>
      </c>
      <c r="I644" t="inlineStr">
        <is>
          <t>1</t>
        </is>
      </c>
      <c r="J644" t="inlineStr">
        <is>
          <t>No</t>
        </is>
      </c>
      <c r="K644" t="inlineStr">
        <is>
          <t>No</t>
        </is>
      </c>
      <c r="L644" t="inlineStr">
        <is>
          <t>0</t>
        </is>
      </c>
      <c r="M644" t="inlineStr">
        <is>
          <t>Dowling, John Clarkson, 1920-2009.</t>
        </is>
      </c>
      <c r="N644" t="inlineStr">
        <is>
          <t>New York : Twayne Publishers, [1971]</t>
        </is>
      </c>
      <c r="O644" t="inlineStr">
        <is>
          <t>1971</t>
        </is>
      </c>
      <c r="Q644" t="inlineStr">
        <is>
          <t>eng</t>
        </is>
      </c>
      <c r="R644" t="inlineStr">
        <is>
          <t>nyu</t>
        </is>
      </c>
      <c r="S644" t="inlineStr">
        <is>
          <t>Twayne's world authors series, TWAS 149. Spain</t>
        </is>
      </c>
      <c r="T644" t="inlineStr">
        <is>
          <t xml:space="preserve">PQ </t>
        </is>
      </c>
      <c r="U644" t="n">
        <v>2</v>
      </c>
      <c r="V644" t="n">
        <v>2</v>
      </c>
      <c r="W644" t="inlineStr">
        <is>
          <t>1996-01-11</t>
        </is>
      </c>
      <c r="X644" t="inlineStr">
        <is>
          <t>1996-01-11</t>
        </is>
      </c>
      <c r="Y644" t="inlineStr">
        <is>
          <t>1991-06-25</t>
        </is>
      </c>
      <c r="Z644" t="inlineStr">
        <is>
          <t>1991-06-25</t>
        </is>
      </c>
      <c r="AA644" t="n">
        <v>592</v>
      </c>
      <c r="AB644" t="n">
        <v>521</v>
      </c>
      <c r="AC644" t="n">
        <v>528</v>
      </c>
      <c r="AD644" t="n">
        <v>5</v>
      </c>
      <c r="AE644" t="n">
        <v>5</v>
      </c>
      <c r="AF644" t="n">
        <v>26</v>
      </c>
      <c r="AG644" t="n">
        <v>26</v>
      </c>
      <c r="AH644" t="n">
        <v>10</v>
      </c>
      <c r="AI644" t="n">
        <v>10</v>
      </c>
      <c r="AJ644" t="n">
        <v>7</v>
      </c>
      <c r="AK644" t="n">
        <v>7</v>
      </c>
      <c r="AL644" t="n">
        <v>14</v>
      </c>
      <c r="AM644" t="n">
        <v>14</v>
      </c>
      <c r="AN644" t="n">
        <v>4</v>
      </c>
      <c r="AO644" t="n">
        <v>4</v>
      </c>
      <c r="AP644" t="n">
        <v>0</v>
      </c>
      <c r="AQ644" t="n">
        <v>0</v>
      </c>
      <c r="AR644" t="inlineStr">
        <is>
          <t>No</t>
        </is>
      </c>
      <c r="AS644" t="inlineStr">
        <is>
          <t>Yes</t>
        </is>
      </c>
      <c r="AT644">
        <f>HYPERLINK("http://catalog.hathitrust.org/Record/001052819","HathiTrust Record")</f>
        <v/>
      </c>
      <c r="AU644">
        <f>HYPERLINK("https://creighton-primo.hosted.exlibrisgroup.com/primo-explore/search?tab=default_tab&amp;search_scope=EVERYTHING&amp;vid=01CRU&amp;lang=en_US&amp;offset=0&amp;query=any,contains,991001904589702656","Catalog Record")</f>
        <v/>
      </c>
      <c r="AV644">
        <f>HYPERLINK("http://www.worldcat.org/oclc/239852","WorldCat Record")</f>
        <v/>
      </c>
      <c r="AW644" t="inlineStr">
        <is>
          <t>1380812:eng</t>
        </is>
      </c>
      <c r="AX644" t="inlineStr">
        <is>
          <t>239852</t>
        </is>
      </c>
      <c r="AY644" t="inlineStr">
        <is>
          <t>991001904589702656</t>
        </is>
      </c>
      <c r="AZ644" t="inlineStr">
        <is>
          <t>991001904589702656</t>
        </is>
      </c>
      <c r="BA644" t="inlineStr">
        <is>
          <t>2257060210002656</t>
        </is>
      </c>
      <c r="BB644" t="inlineStr">
        <is>
          <t>BOOK</t>
        </is>
      </c>
      <c r="BE644" t="inlineStr">
        <is>
          <t>32285000631936</t>
        </is>
      </c>
      <c r="BF644" t="inlineStr">
        <is>
          <t>893503787</t>
        </is>
      </c>
    </row>
    <row r="645">
      <c r="A645" t="inlineStr">
        <is>
          <t>No</t>
        </is>
      </c>
      <c r="B645" t="inlineStr">
        <is>
          <t>CURAL</t>
        </is>
      </c>
      <c r="C645" t="inlineStr">
        <is>
          <t>SHELVES</t>
        </is>
      </c>
      <c r="D645" t="inlineStr">
        <is>
          <t>PQ6549.N35 A72 1979</t>
        </is>
      </c>
      <c r="E645" t="inlineStr">
        <is>
          <t>0                      PQ 6549000N  35                 A  72          1979</t>
        </is>
      </c>
      <c r="F645" t="inlineStr">
        <is>
          <t>Amaya, ó, Los vascos en el siglo VIII / F. Navarro Villoslada.</t>
        </is>
      </c>
      <c r="H645" t="inlineStr">
        <is>
          <t>No</t>
        </is>
      </c>
      <c r="I645" t="inlineStr">
        <is>
          <t>1</t>
        </is>
      </c>
      <c r="J645" t="inlineStr">
        <is>
          <t>No</t>
        </is>
      </c>
      <c r="K645" t="inlineStr">
        <is>
          <t>No</t>
        </is>
      </c>
      <c r="L645" t="inlineStr">
        <is>
          <t>0</t>
        </is>
      </c>
      <c r="M645" t="inlineStr">
        <is>
          <t>Navarro Villoslada, Francisco, 1818-1895.</t>
        </is>
      </c>
      <c r="N645" t="inlineStr">
        <is>
          <t>Madrid : Tebas, 1979.</t>
        </is>
      </c>
      <c r="O645" t="inlineStr">
        <is>
          <t>1979</t>
        </is>
      </c>
      <c r="Q645" t="inlineStr">
        <is>
          <t>spa</t>
        </is>
      </c>
      <c r="R645" t="inlineStr">
        <is>
          <t xml:space="preserve">sp </t>
        </is>
      </c>
      <c r="S645" t="inlineStr">
        <is>
          <t>La Novela histórica española ; 23</t>
        </is>
      </c>
      <c r="T645" t="inlineStr">
        <is>
          <t xml:space="preserve">PQ </t>
        </is>
      </c>
      <c r="U645" t="n">
        <v>0</v>
      </c>
      <c r="V645" t="n">
        <v>0</v>
      </c>
      <c r="W645" t="inlineStr">
        <is>
          <t>2004-09-07</t>
        </is>
      </c>
      <c r="X645" t="inlineStr">
        <is>
          <t>2004-09-07</t>
        </is>
      </c>
      <c r="Y645" t="inlineStr">
        <is>
          <t>1991-06-25</t>
        </is>
      </c>
      <c r="Z645" t="inlineStr">
        <is>
          <t>1991-06-25</t>
        </is>
      </c>
      <c r="AA645" t="n">
        <v>19</v>
      </c>
      <c r="AB645" t="n">
        <v>10</v>
      </c>
      <c r="AC645" t="n">
        <v>10</v>
      </c>
      <c r="AD645" t="n">
        <v>1</v>
      </c>
      <c r="AE645" t="n">
        <v>1</v>
      </c>
      <c r="AF645" t="n">
        <v>0</v>
      </c>
      <c r="AG645" t="n">
        <v>0</v>
      </c>
      <c r="AH645" t="n">
        <v>0</v>
      </c>
      <c r="AI645" t="n">
        <v>0</v>
      </c>
      <c r="AJ645" t="n">
        <v>0</v>
      </c>
      <c r="AK645" t="n">
        <v>0</v>
      </c>
      <c r="AL645" t="n">
        <v>0</v>
      </c>
      <c r="AM645" t="n">
        <v>0</v>
      </c>
      <c r="AN645" t="n">
        <v>0</v>
      </c>
      <c r="AO645" t="n">
        <v>0</v>
      </c>
      <c r="AP645" t="n">
        <v>0</v>
      </c>
      <c r="AQ645" t="n">
        <v>0</v>
      </c>
      <c r="AR645" t="inlineStr">
        <is>
          <t>No</t>
        </is>
      </c>
      <c r="AS645" t="inlineStr">
        <is>
          <t>No</t>
        </is>
      </c>
      <c r="AU645">
        <f>HYPERLINK("https://creighton-primo.hosted.exlibrisgroup.com/primo-explore/search?tab=default_tab&amp;search_scope=EVERYTHING&amp;vid=01CRU&amp;lang=en_US&amp;offset=0&amp;query=any,contains,991005073909702656","Catalog Record")</f>
        <v/>
      </c>
      <c r="AV645">
        <f>HYPERLINK("http://www.worldcat.org/oclc/7078130","WorldCat Record")</f>
        <v/>
      </c>
      <c r="AW645" t="inlineStr">
        <is>
          <t>9437934364:spa</t>
        </is>
      </c>
      <c r="AX645" t="inlineStr">
        <is>
          <t>7078130</t>
        </is>
      </c>
      <c r="AY645" t="inlineStr">
        <is>
          <t>991005073909702656</t>
        </is>
      </c>
      <c r="AZ645" t="inlineStr">
        <is>
          <t>991005073909702656</t>
        </is>
      </c>
      <c r="BA645" t="inlineStr">
        <is>
          <t>2265696560002656</t>
        </is>
      </c>
      <c r="BB645" t="inlineStr">
        <is>
          <t>BOOK</t>
        </is>
      </c>
      <c r="BD645" t="inlineStr">
        <is>
          <t>9788472731042</t>
        </is>
      </c>
      <c r="BE645" t="inlineStr">
        <is>
          <t>32285000631951</t>
        </is>
      </c>
      <c r="BF645" t="inlineStr">
        <is>
          <t>893883292</t>
        </is>
      </c>
    </row>
    <row r="646">
      <c r="A646" t="inlineStr">
        <is>
          <t>No</t>
        </is>
      </c>
      <c r="B646" t="inlineStr">
        <is>
          <t>CURAL</t>
        </is>
      </c>
      <c r="C646" t="inlineStr">
        <is>
          <t>SHELVES</t>
        </is>
      </c>
      <c r="D646" t="inlineStr">
        <is>
          <t>PQ6554.P3 A6 1991</t>
        </is>
      </c>
      <c r="E646" t="inlineStr">
        <is>
          <t>0                      PQ 6554000P  3                  A  6           1991</t>
        </is>
      </c>
      <c r="F646" t="inlineStr">
        <is>
          <t>Antologia / José María de Pereda ; selecciónada por Pablo Beltrán de Heredia.</t>
        </is>
      </c>
      <c r="H646" t="inlineStr">
        <is>
          <t>No</t>
        </is>
      </c>
      <c r="I646" t="inlineStr">
        <is>
          <t>1</t>
        </is>
      </c>
      <c r="J646" t="inlineStr">
        <is>
          <t>No</t>
        </is>
      </c>
      <c r="K646" t="inlineStr">
        <is>
          <t>No</t>
        </is>
      </c>
      <c r="L646" t="inlineStr">
        <is>
          <t>0</t>
        </is>
      </c>
      <c r="M646" t="inlineStr">
        <is>
          <t>Pereda, José María de, 1833-1906.</t>
        </is>
      </c>
      <c r="N646" t="inlineStr">
        <is>
          <t>Santander : Fundación Marcelino Botín, 1991.</t>
        </is>
      </c>
      <c r="O646" t="inlineStr">
        <is>
          <t>1991</t>
        </is>
      </c>
      <c r="Q646" t="inlineStr">
        <is>
          <t>spa</t>
        </is>
      </c>
      <c r="R646" t="inlineStr">
        <is>
          <t xml:space="preserve">sp </t>
        </is>
      </c>
      <c r="S646" t="inlineStr">
        <is>
          <t>Publicaciones de la Fundación Marcelino Botín. Serie Literatura ; 2</t>
        </is>
      </c>
      <c r="T646" t="inlineStr">
        <is>
          <t xml:space="preserve">PQ </t>
        </is>
      </c>
      <c r="U646" t="n">
        <v>1</v>
      </c>
      <c r="V646" t="n">
        <v>1</v>
      </c>
      <c r="W646" t="inlineStr">
        <is>
          <t>2005-03-23</t>
        </is>
      </c>
      <c r="X646" t="inlineStr">
        <is>
          <t>2005-03-23</t>
        </is>
      </c>
      <c r="Y646" t="inlineStr">
        <is>
          <t>2005-03-23</t>
        </is>
      </c>
      <c r="Z646" t="inlineStr">
        <is>
          <t>2005-03-23</t>
        </is>
      </c>
      <c r="AA646" t="n">
        <v>6</v>
      </c>
      <c r="AB646" t="n">
        <v>5</v>
      </c>
      <c r="AC646" t="n">
        <v>5</v>
      </c>
      <c r="AD646" t="n">
        <v>1</v>
      </c>
      <c r="AE646" t="n">
        <v>1</v>
      </c>
      <c r="AF646" t="n">
        <v>0</v>
      </c>
      <c r="AG646" t="n">
        <v>0</v>
      </c>
      <c r="AH646" t="n">
        <v>0</v>
      </c>
      <c r="AI646" t="n">
        <v>0</v>
      </c>
      <c r="AJ646" t="n">
        <v>0</v>
      </c>
      <c r="AK646" t="n">
        <v>0</v>
      </c>
      <c r="AL646" t="n">
        <v>0</v>
      </c>
      <c r="AM646" t="n">
        <v>0</v>
      </c>
      <c r="AN646" t="n">
        <v>0</v>
      </c>
      <c r="AO646" t="n">
        <v>0</v>
      </c>
      <c r="AP646" t="n">
        <v>0</v>
      </c>
      <c r="AQ646" t="n">
        <v>0</v>
      </c>
      <c r="AR646" t="inlineStr">
        <is>
          <t>No</t>
        </is>
      </c>
      <c r="AS646" t="inlineStr">
        <is>
          <t>No</t>
        </is>
      </c>
      <c r="AU646">
        <f>HYPERLINK("https://creighton-primo.hosted.exlibrisgroup.com/primo-explore/search?tab=default_tab&amp;search_scope=EVERYTHING&amp;vid=01CRU&amp;lang=en_US&amp;offset=0&amp;query=any,contains,991004509689702656","Catalog Record")</f>
        <v/>
      </c>
      <c r="AV646">
        <f>HYPERLINK("http://www.worldcat.org/oclc/29823702","WorldCat Record")</f>
        <v/>
      </c>
      <c r="AW646" t="inlineStr">
        <is>
          <t>226165700:spa</t>
        </is>
      </c>
      <c r="AX646" t="inlineStr">
        <is>
          <t>29823702</t>
        </is>
      </c>
      <c r="AY646" t="inlineStr">
        <is>
          <t>991004509689702656</t>
        </is>
      </c>
      <c r="AZ646" t="inlineStr">
        <is>
          <t>991004509689702656</t>
        </is>
      </c>
      <c r="BA646" t="inlineStr">
        <is>
          <t>2263805620002656</t>
        </is>
      </c>
      <c r="BB646" t="inlineStr">
        <is>
          <t>BOOK</t>
        </is>
      </c>
      <c r="BD646" t="inlineStr">
        <is>
          <t>9788487678035</t>
        </is>
      </c>
      <c r="BE646" t="inlineStr">
        <is>
          <t>32285005044424</t>
        </is>
      </c>
      <c r="BF646" t="inlineStr">
        <is>
          <t>893519734</t>
        </is>
      </c>
    </row>
    <row r="647">
      <c r="A647" t="inlineStr">
        <is>
          <t>No</t>
        </is>
      </c>
      <c r="B647" t="inlineStr">
        <is>
          <t>CURAL</t>
        </is>
      </c>
      <c r="C647" t="inlineStr">
        <is>
          <t>SHELVES</t>
        </is>
      </c>
      <c r="D647" t="inlineStr">
        <is>
          <t>PQ6555 .L213 1996</t>
        </is>
      </c>
      <c r="E647" t="inlineStr">
        <is>
          <t>0                      PQ 6555000L  213         1996</t>
        </is>
      </c>
      <c r="F647" t="inlineStr">
        <is>
          <t>That Bringas woman / Benito Pérez Galdós ; translated and edited by Catherine Jagoe ; consultant editor for this volume, Melvina McKendrick.</t>
        </is>
      </c>
      <c r="H647" t="inlineStr">
        <is>
          <t>No</t>
        </is>
      </c>
      <c r="I647" t="inlineStr">
        <is>
          <t>1</t>
        </is>
      </c>
      <c r="J647" t="inlineStr">
        <is>
          <t>No</t>
        </is>
      </c>
      <c r="K647" t="inlineStr">
        <is>
          <t>No</t>
        </is>
      </c>
      <c r="L647" t="inlineStr">
        <is>
          <t>0</t>
        </is>
      </c>
      <c r="M647" t="inlineStr">
        <is>
          <t>Pérez Galdós, Benito, 1843-1920.</t>
        </is>
      </c>
      <c r="N647" t="inlineStr">
        <is>
          <t>London : J.M. Dent ; Rutland, Vermont, USA : C.E. Tuttle, c1996.</t>
        </is>
      </c>
      <c r="O647" t="inlineStr">
        <is>
          <t>1996</t>
        </is>
      </c>
      <c r="Q647" t="inlineStr">
        <is>
          <t>eng</t>
        </is>
      </c>
      <c r="R647" t="inlineStr">
        <is>
          <t>enk</t>
        </is>
      </c>
      <c r="S647" t="inlineStr">
        <is>
          <t>The Everyman library</t>
        </is>
      </c>
      <c r="T647" t="inlineStr">
        <is>
          <t xml:space="preserve">PQ </t>
        </is>
      </c>
      <c r="U647" t="n">
        <v>2</v>
      </c>
      <c r="V647" t="n">
        <v>2</v>
      </c>
      <c r="W647" t="inlineStr">
        <is>
          <t>2005-04-06</t>
        </is>
      </c>
      <c r="X647" t="inlineStr">
        <is>
          <t>2005-04-06</t>
        </is>
      </c>
      <c r="Y647" t="inlineStr">
        <is>
          <t>2005-04-06</t>
        </is>
      </c>
      <c r="Z647" t="inlineStr">
        <is>
          <t>2005-04-06</t>
        </is>
      </c>
      <c r="AA647" t="n">
        <v>108</v>
      </c>
      <c r="AB647" t="n">
        <v>85</v>
      </c>
      <c r="AC647" t="n">
        <v>401</v>
      </c>
      <c r="AD647" t="n">
        <v>2</v>
      </c>
      <c r="AE647" t="n">
        <v>3</v>
      </c>
      <c r="AF647" t="n">
        <v>4</v>
      </c>
      <c r="AG647" t="n">
        <v>17</v>
      </c>
      <c r="AH647" t="n">
        <v>0</v>
      </c>
      <c r="AI647" t="n">
        <v>4</v>
      </c>
      <c r="AJ647" t="n">
        <v>1</v>
      </c>
      <c r="AK647" t="n">
        <v>6</v>
      </c>
      <c r="AL647" t="n">
        <v>2</v>
      </c>
      <c r="AM647" t="n">
        <v>11</v>
      </c>
      <c r="AN647" t="n">
        <v>1</v>
      </c>
      <c r="AO647" t="n">
        <v>2</v>
      </c>
      <c r="AP647" t="n">
        <v>0</v>
      </c>
      <c r="AQ647" t="n">
        <v>0</v>
      </c>
      <c r="AR647" t="inlineStr">
        <is>
          <t>No</t>
        </is>
      </c>
      <c r="AS647" t="inlineStr">
        <is>
          <t>No</t>
        </is>
      </c>
      <c r="AU647">
        <f>HYPERLINK("https://creighton-primo.hosted.exlibrisgroup.com/primo-explore/search?tab=default_tab&amp;search_scope=EVERYTHING&amp;vid=01CRU&amp;lang=en_US&amp;offset=0&amp;query=any,contains,991004522259702656","Catalog Record")</f>
        <v/>
      </c>
      <c r="AV647">
        <f>HYPERLINK("http://www.worldcat.org/oclc/35210699","WorldCat Record")</f>
        <v/>
      </c>
      <c r="AW647" t="inlineStr">
        <is>
          <t>3749517015:eng</t>
        </is>
      </c>
      <c r="AX647" t="inlineStr">
        <is>
          <t>35210699</t>
        </is>
      </c>
      <c r="AY647" t="inlineStr">
        <is>
          <t>991004522259702656</t>
        </is>
      </c>
      <c r="AZ647" t="inlineStr">
        <is>
          <t>991004522259702656</t>
        </is>
      </c>
      <c r="BA647" t="inlineStr">
        <is>
          <t>2257780320002656</t>
        </is>
      </c>
      <c r="BB647" t="inlineStr">
        <is>
          <t>BOOK</t>
        </is>
      </c>
      <c r="BD647" t="inlineStr">
        <is>
          <t>9780460876360</t>
        </is>
      </c>
      <c r="BE647" t="inlineStr">
        <is>
          <t>32285005048193</t>
        </is>
      </c>
      <c r="BF647" t="inlineStr">
        <is>
          <t>893801047</t>
        </is>
      </c>
    </row>
    <row r="648">
      <c r="A648" t="inlineStr">
        <is>
          <t>No</t>
        </is>
      </c>
      <c r="B648" t="inlineStr">
        <is>
          <t>CURAL</t>
        </is>
      </c>
      <c r="C648" t="inlineStr">
        <is>
          <t>SHELVES</t>
        </is>
      </c>
      <c r="D648" t="inlineStr">
        <is>
          <t>PQ6560.Z5 L64</t>
        </is>
      </c>
      <c r="E648" t="inlineStr">
        <is>
          <t>0                      PQ 6560000Z  5                  L  64</t>
        </is>
      </c>
      <c r="F648" t="inlineStr">
        <is>
          <t>The Duke of Rivas / by Gabriel Lovett.</t>
        </is>
      </c>
      <c r="H648" t="inlineStr">
        <is>
          <t>No</t>
        </is>
      </c>
      <c r="I648" t="inlineStr">
        <is>
          <t>1</t>
        </is>
      </c>
      <c r="J648" t="inlineStr">
        <is>
          <t>No</t>
        </is>
      </c>
      <c r="K648" t="inlineStr">
        <is>
          <t>No</t>
        </is>
      </c>
      <c r="L648" t="inlineStr">
        <is>
          <t>0</t>
        </is>
      </c>
      <c r="M648" t="inlineStr">
        <is>
          <t>Lovett, Gabriel H.</t>
        </is>
      </c>
      <c r="N648" t="inlineStr">
        <is>
          <t>Boston : Twayne, c1977.</t>
        </is>
      </c>
      <c r="O648" t="inlineStr">
        <is>
          <t>1977</t>
        </is>
      </c>
      <c r="Q648" t="inlineStr">
        <is>
          <t>eng</t>
        </is>
      </c>
      <c r="R648" t="inlineStr">
        <is>
          <t>mau</t>
        </is>
      </c>
      <c r="S648" t="inlineStr">
        <is>
          <t>Twayne's world authors series ; TWAS 452 : Spain</t>
        </is>
      </c>
      <c r="T648" t="inlineStr">
        <is>
          <t xml:space="preserve">PQ </t>
        </is>
      </c>
      <c r="U648" t="n">
        <v>2</v>
      </c>
      <c r="V648" t="n">
        <v>2</v>
      </c>
      <c r="W648" t="inlineStr">
        <is>
          <t>1996-01-18</t>
        </is>
      </c>
      <c r="X648" t="inlineStr">
        <is>
          <t>1996-01-18</t>
        </is>
      </c>
      <c r="Y648" t="inlineStr">
        <is>
          <t>1991-06-25</t>
        </is>
      </c>
      <c r="Z648" t="inlineStr">
        <is>
          <t>1991-06-25</t>
        </is>
      </c>
      <c r="AA648" t="n">
        <v>453</v>
      </c>
      <c r="AB648" t="n">
        <v>399</v>
      </c>
      <c r="AC648" t="n">
        <v>406</v>
      </c>
      <c r="AD648" t="n">
        <v>3</v>
      </c>
      <c r="AE648" t="n">
        <v>3</v>
      </c>
      <c r="AF648" t="n">
        <v>20</v>
      </c>
      <c r="AG648" t="n">
        <v>20</v>
      </c>
      <c r="AH648" t="n">
        <v>9</v>
      </c>
      <c r="AI648" t="n">
        <v>9</v>
      </c>
      <c r="AJ648" t="n">
        <v>5</v>
      </c>
      <c r="AK648" t="n">
        <v>5</v>
      </c>
      <c r="AL648" t="n">
        <v>11</v>
      </c>
      <c r="AM648" t="n">
        <v>11</v>
      </c>
      <c r="AN648" t="n">
        <v>2</v>
      </c>
      <c r="AO648" t="n">
        <v>2</v>
      </c>
      <c r="AP648" t="n">
        <v>0</v>
      </c>
      <c r="AQ648" t="n">
        <v>0</v>
      </c>
      <c r="AR648" t="inlineStr">
        <is>
          <t>No</t>
        </is>
      </c>
      <c r="AS648" t="inlineStr">
        <is>
          <t>Yes</t>
        </is>
      </c>
      <c r="AT648">
        <f>HYPERLINK("http://catalog.hathitrust.org/Record/000724619","HathiTrust Record")</f>
        <v/>
      </c>
      <c r="AU648">
        <f>HYPERLINK("https://creighton-primo.hosted.exlibrisgroup.com/primo-explore/search?tab=default_tab&amp;search_scope=EVERYTHING&amp;vid=01CRU&amp;lang=en_US&amp;offset=0&amp;query=any,contains,991004268119702656","Catalog Record")</f>
        <v/>
      </c>
      <c r="AV648">
        <f>HYPERLINK("http://www.worldcat.org/oclc/2873539","WorldCat Record")</f>
        <v/>
      </c>
      <c r="AW648" t="inlineStr">
        <is>
          <t>6382219:eng</t>
        </is>
      </c>
      <c r="AX648" t="inlineStr">
        <is>
          <t>2873539</t>
        </is>
      </c>
      <c r="AY648" t="inlineStr">
        <is>
          <t>991004268119702656</t>
        </is>
      </c>
      <c r="AZ648" t="inlineStr">
        <is>
          <t>991004268119702656</t>
        </is>
      </c>
      <c r="BA648" t="inlineStr">
        <is>
          <t>2259477200002656</t>
        </is>
      </c>
      <c r="BB648" t="inlineStr">
        <is>
          <t>BOOK</t>
        </is>
      </c>
      <c r="BD648" t="inlineStr">
        <is>
          <t>9780805762891</t>
        </is>
      </c>
      <c r="BE648" t="inlineStr">
        <is>
          <t>32285000632124</t>
        </is>
      </c>
      <c r="BF648" t="inlineStr">
        <is>
          <t>893800798</t>
        </is>
      </c>
    </row>
    <row r="649">
      <c r="A649" t="inlineStr">
        <is>
          <t>No</t>
        </is>
      </c>
      <c r="B649" t="inlineStr">
        <is>
          <t>CURAL</t>
        </is>
      </c>
      <c r="C649" t="inlineStr">
        <is>
          <t>SHELVES</t>
        </is>
      </c>
      <c r="D649" t="inlineStr">
        <is>
          <t>PQ6601.L253 Z7 1971</t>
        </is>
      </c>
      <c r="E649" t="inlineStr">
        <is>
          <t>0                      PQ 6601000L  253                Z  7           1971</t>
        </is>
      </c>
      <c r="F649" t="inlineStr">
        <is>
          <t>Ensayos sobre literatura social / Gaspar Gomez del la Serna.</t>
        </is>
      </c>
      <c r="H649" t="inlineStr">
        <is>
          <t>No</t>
        </is>
      </c>
      <c r="I649" t="inlineStr">
        <is>
          <t>1</t>
        </is>
      </c>
      <c r="J649" t="inlineStr">
        <is>
          <t>No</t>
        </is>
      </c>
      <c r="K649" t="inlineStr">
        <is>
          <t>No</t>
        </is>
      </c>
      <c r="L649" t="inlineStr">
        <is>
          <t>0</t>
        </is>
      </c>
      <c r="M649" t="inlineStr">
        <is>
          <t>Gómez de la Serna, Gaspar.</t>
        </is>
      </c>
      <c r="N649" t="inlineStr">
        <is>
          <t>Madrid : Guadarrama, [1971]</t>
        </is>
      </c>
      <c r="O649" t="inlineStr">
        <is>
          <t>1971</t>
        </is>
      </c>
      <c r="Q649" t="inlineStr">
        <is>
          <t>spa</t>
        </is>
      </c>
      <c r="R649" t="inlineStr">
        <is>
          <t xml:space="preserve">sp </t>
        </is>
      </c>
      <c r="S649" t="inlineStr">
        <is>
          <t>Colección Punto omega, 132</t>
        </is>
      </c>
      <c r="T649" t="inlineStr">
        <is>
          <t xml:space="preserve">PQ </t>
        </is>
      </c>
      <c r="U649" t="n">
        <v>1</v>
      </c>
      <c r="V649" t="n">
        <v>1</v>
      </c>
      <c r="W649" t="inlineStr">
        <is>
          <t>2005-03-22</t>
        </is>
      </c>
      <c r="X649" t="inlineStr">
        <is>
          <t>2005-03-22</t>
        </is>
      </c>
      <c r="Y649" t="inlineStr">
        <is>
          <t>2005-03-22</t>
        </is>
      </c>
      <c r="Z649" t="inlineStr">
        <is>
          <t>2005-03-22</t>
        </is>
      </c>
      <c r="AA649" t="n">
        <v>189</v>
      </c>
      <c r="AB649" t="n">
        <v>141</v>
      </c>
      <c r="AC649" t="n">
        <v>143</v>
      </c>
      <c r="AD649" t="n">
        <v>3</v>
      </c>
      <c r="AE649" t="n">
        <v>3</v>
      </c>
      <c r="AF649" t="n">
        <v>9</v>
      </c>
      <c r="AG649" t="n">
        <v>9</v>
      </c>
      <c r="AH649" t="n">
        <v>3</v>
      </c>
      <c r="AI649" t="n">
        <v>3</v>
      </c>
      <c r="AJ649" t="n">
        <v>2</v>
      </c>
      <c r="AK649" t="n">
        <v>2</v>
      </c>
      <c r="AL649" t="n">
        <v>4</v>
      </c>
      <c r="AM649" t="n">
        <v>4</v>
      </c>
      <c r="AN649" t="n">
        <v>2</v>
      </c>
      <c r="AO649" t="n">
        <v>2</v>
      </c>
      <c r="AP649" t="n">
        <v>0</v>
      </c>
      <c r="AQ649" t="n">
        <v>0</v>
      </c>
      <c r="AR649" t="inlineStr">
        <is>
          <t>No</t>
        </is>
      </c>
      <c r="AS649" t="inlineStr">
        <is>
          <t>Yes</t>
        </is>
      </c>
      <c r="AT649">
        <f>HYPERLINK("http://catalog.hathitrust.org/Record/001049548","HathiTrust Record")</f>
        <v/>
      </c>
      <c r="AU649">
        <f>HYPERLINK("https://creighton-primo.hosted.exlibrisgroup.com/primo-explore/search?tab=default_tab&amp;search_scope=EVERYTHING&amp;vid=01CRU&amp;lang=en_US&amp;offset=0&amp;query=any,contains,991004508709702656","Catalog Record")</f>
        <v/>
      </c>
      <c r="AV649">
        <f>HYPERLINK("http://www.worldcat.org/oclc/574836","WorldCat Record")</f>
        <v/>
      </c>
      <c r="AW649" t="inlineStr">
        <is>
          <t>9349947273:spa</t>
        </is>
      </c>
      <c r="AX649" t="inlineStr">
        <is>
          <t>574836</t>
        </is>
      </c>
      <c r="AY649" t="inlineStr">
        <is>
          <t>991004508709702656</t>
        </is>
      </c>
      <c r="AZ649" t="inlineStr">
        <is>
          <t>991004508709702656</t>
        </is>
      </c>
      <c r="BA649" t="inlineStr">
        <is>
          <t>2257601450002656</t>
        </is>
      </c>
      <c r="BB649" t="inlineStr">
        <is>
          <t>BOOK</t>
        </is>
      </c>
      <c r="BE649" t="inlineStr">
        <is>
          <t>32285005029490</t>
        </is>
      </c>
      <c r="BF649" t="inlineStr">
        <is>
          <t>893442692</t>
        </is>
      </c>
    </row>
    <row r="650">
      <c r="A650" t="inlineStr">
        <is>
          <t>No</t>
        </is>
      </c>
      <c r="B650" t="inlineStr">
        <is>
          <t>CURAL</t>
        </is>
      </c>
      <c r="C650" t="inlineStr">
        <is>
          <t>SHELVES</t>
        </is>
      </c>
      <c r="D650" t="inlineStr">
        <is>
          <t>PQ6601.R58 E9 1990</t>
        </is>
      </c>
      <c r="E650" t="inlineStr">
        <is>
          <t>0                      PQ 6601000R  58                 E  9           1990</t>
        </is>
      </c>
      <c r="F650" t="inlineStr">
        <is>
          <t>La extravagante cruzada de un castrado enamorado / Fernando Arrabal.</t>
        </is>
      </c>
      <c r="H650" t="inlineStr">
        <is>
          <t>No</t>
        </is>
      </c>
      <c r="I650" t="inlineStr">
        <is>
          <t>1</t>
        </is>
      </c>
      <c r="J650" t="inlineStr">
        <is>
          <t>No</t>
        </is>
      </c>
      <c r="K650" t="inlineStr">
        <is>
          <t>No</t>
        </is>
      </c>
      <c r="L650" t="inlineStr">
        <is>
          <t>0</t>
        </is>
      </c>
      <c r="M650" t="inlineStr">
        <is>
          <t>Arrabal, Fernando.</t>
        </is>
      </c>
      <c r="N650" t="inlineStr">
        <is>
          <t>Barcelona : Seix Barral, 1990.</t>
        </is>
      </c>
      <c r="O650" t="inlineStr">
        <is>
          <t>1990</t>
        </is>
      </c>
      <c r="P650" t="inlineStr">
        <is>
          <t>1a ed.</t>
        </is>
      </c>
      <c r="Q650" t="inlineStr">
        <is>
          <t>spa</t>
        </is>
      </c>
      <c r="R650" t="inlineStr">
        <is>
          <t xml:space="preserve">sp </t>
        </is>
      </c>
      <c r="S650" t="inlineStr">
        <is>
          <t>Biblioteca breve</t>
        </is>
      </c>
      <c r="T650" t="inlineStr">
        <is>
          <t xml:space="preserve">PQ </t>
        </is>
      </c>
      <c r="U650" t="n">
        <v>1</v>
      </c>
      <c r="V650" t="n">
        <v>1</v>
      </c>
      <c r="W650" t="inlineStr">
        <is>
          <t>1993-06-25</t>
        </is>
      </c>
      <c r="X650" t="inlineStr">
        <is>
          <t>1993-06-25</t>
        </is>
      </c>
      <c r="Y650" t="inlineStr">
        <is>
          <t>1991-04-24</t>
        </is>
      </c>
      <c r="Z650" t="inlineStr">
        <is>
          <t>1991-04-24</t>
        </is>
      </c>
      <c r="AA650" t="n">
        <v>88</v>
      </c>
      <c r="AB650" t="n">
        <v>72</v>
      </c>
      <c r="AC650" t="n">
        <v>73</v>
      </c>
      <c r="AD650" t="n">
        <v>1</v>
      </c>
      <c r="AE650" t="n">
        <v>1</v>
      </c>
      <c r="AF650" t="n">
        <v>1</v>
      </c>
      <c r="AG650" t="n">
        <v>1</v>
      </c>
      <c r="AH650" t="n">
        <v>1</v>
      </c>
      <c r="AI650" t="n">
        <v>1</v>
      </c>
      <c r="AJ650" t="n">
        <v>0</v>
      </c>
      <c r="AK650" t="n">
        <v>0</v>
      </c>
      <c r="AL650" t="n">
        <v>0</v>
      </c>
      <c r="AM650" t="n">
        <v>0</v>
      </c>
      <c r="AN650" t="n">
        <v>0</v>
      </c>
      <c r="AO650" t="n">
        <v>0</v>
      </c>
      <c r="AP650" t="n">
        <v>0</v>
      </c>
      <c r="AQ650" t="n">
        <v>0</v>
      </c>
      <c r="AR650" t="inlineStr">
        <is>
          <t>No</t>
        </is>
      </c>
      <c r="AS650" t="inlineStr">
        <is>
          <t>Yes</t>
        </is>
      </c>
      <c r="AT650">
        <f>HYPERLINK("http://catalog.hathitrust.org/Record/002172137","HathiTrust Record")</f>
        <v/>
      </c>
      <c r="AU650">
        <f>HYPERLINK("https://creighton-primo.hosted.exlibrisgroup.com/primo-explore/search?tab=default_tab&amp;search_scope=EVERYTHING&amp;vid=01CRU&amp;lang=en_US&amp;offset=0&amp;query=any,contains,991001698019702656","Catalog Record")</f>
        <v/>
      </c>
      <c r="AV650">
        <f>HYPERLINK("http://www.worldcat.org/oclc/22306822","WorldCat Record")</f>
        <v/>
      </c>
      <c r="AW650" t="inlineStr">
        <is>
          <t>369950635:spa</t>
        </is>
      </c>
      <c r="AX650" t="inlineStr">
        <is>
          <t>22306822</t>
        </is>
      </c>
      <c r="AY650" t="inlineStr">
        <is>
          <t>991001698019702656</t>
        </is>
      </c>
      <c r="AZ650" t="inlineStr">
        <is>
          <t>991001698019702656</t>
        </is>
      </c>
      <c r="BA650" t="inlineStr">
        <is>
          <t>2263306920002656</t>
        </is>
      </c>
      <c r="BB650" t="inlineStr">
        <is>
          <t>BOOK</t>
        </is>
      </c>
      <c r="BD650" t="inlineStr">
        <is>
          <t>9788432206160</t>
        </is>
      </c>
      <c r="BE650" t="inlineStr">
        <is>
          <t>32285000569037</t>
        </is>
      </c>
      <c r="BF650" t="inlineStr">
        <is>
          <t>893322164</t>
        </is>
      </c>
    </row>
    <row r="651">
      <c r="A651" t="inlineStr">
        <is>
          <t>No</t>
        </is>
      </c>
      <c r="B651" t="inlineStr">
        <is>
          <t>CURAL</t>
        </is>
      </c>
      <c r="C651" t="inlineStr">
        <is>
          <t>SHELVES</t>
        </is>
      </c>
      <c r="D651" t="inlineStr">
        <is>
          <t>PQ6601.R58 P5 1985</t>
        </is>
      </c>
      <c r="E651" t="inlineStr">
        <is>
          <t>0                      PQ 6601000R  58                 P  5           1985</t>
        </is>
      </c>
      <c r="F651" t="inlineStr">
        <is>
          <t>La piedra iluminada / Fernando Arrabal.</t>
        </is>
      </c>
      <c r="H651" t="inlineStr">
        <is>
          <t>No</t>
        </is>
      </c>
      <c r="I651" t="inlineStr">
        <is>
          <t>1</t>
        </is>
      </c>
      <c r="J651" t="inlineStr">
        <is>
          <t>No</t>
        </is>
      </c>
      <c r="K651" t="inlineStr">
        <is>
          <t>No</t>
        </is>
      </c>
      <c r="L651" t="inlineStr">
        <is>
          <t>0</t>
        </is>
      </c>
      <c r="M651" t="inlineStr">
        <is>
          <t>Arrabal, Fernando.</t>
        </is>
      </c>
      <c r="N651" t="inlineStr">
        <is>
          <t>Barcelona : Ediciones Destino, 1985.</t>
        </is>
      </c>
      <c r="O651" t="inlineStr">
        <is>
          <t>1985</t>
        </is>
      </c>
      <c r="P651" t="inlineStr">
        <is>
          <t>1a ed.</t>
        </is>
      </c>
      <c r="Q651" t="inlineStr">
        <is>
          <t>spa</t>
        </is>
      </c>
      <c r="R651" t="inlineStr">
        <is>
          <t xml:space="preserve">sp </t>
        </is>
      </c>
      <c r="S651" t="inlineStr">
        <is>
          <t>Colección Ancora y delfín ; v. 592</t>
        </is>
      </c>
      <c r="T651" t="inlineStr">
        <is>
          <t xml:space="preserve">PQ </t>
        </is>
      </c>
      <c r="U651" t="n">
        <v>1</v>
      </c>
      <c r="V651" t="n">
        <v>1</v>
      </c>
      <c r="W651" t="inlineStr">
        <is>
          <t>1993-07-07</t>
        </is>
      </c>
      <c r="X651" t="inlineStr">
        <is>
          <t>1993-07-07</t>
        </is>
      </c>
      <c r="Y651" t="inlineStr">
        <is>
          <t>1991-06-25</t>
        </is>
      </c>
      <c r="Z651" t="inlineStr">
        <is>
          <t>1991-06-25</t>
        </is>
      </c>
      <c r="AA651" t="n">
        <v>143</v>
      </c>
      <c r="AB651" t="n">
        <v>101</v>
      </c>
      <c r="AC651" t="n">
        <v>108</v>
      </c>
      <c r="AD651" t="n">
        <v>2</v>
      </c>
      <c r="AE651" t="n">
        <v>2</v>
      </c>
      <c r="AF651" t="n">
        <v>3</v>
      </c>
      <c r="AG651" t="n">
        <v>3</v>
      </c>
      <c r="AH651" t="n">
        <v>2</v>
      </c>
      <c r="AI651" t="n">
        <v>2</v>
      </c>
      <c r="AJ651" t="n">
        <v>0</v>
      </c>
      <c r="AK651" t="n">
        <v>0</v>
      </c>
      <c r="AL651" t="n">
        <v>2</v>
      </c>
      <c r="AM651" t="n">
        <v>2</v>
      </c>
      <c r="AN651" t="n">
        <v>1</v>
      </c>
      <c r="AO651" t="n">
        <v>1</v>
      </c>
      <c r="AP651" t="n">
        <v>0</v>
      </c>
      <c r="AQ651" t="n">
        <v>0</v>
      </c>
      <c r="AR651" t="inlineStr">
        <is>
          <t>No</t>
        </is>
      </c>
      <c r="AS651" t="inlineStr">
        <is>
          <t>Yes</t>
        </is>
      </c>
      <c r="AT651">
        <f>HYPERLINK("http://catalog.hathitrust.org/Record/000850457","HathiTrust Record")</f>
        <v/>
      </c>
      <c r="AU651">
        <f>HYPERLINK("https://creighton-primo.hosted.exlibrisgroup.com/primo-explore/search?tab=default_tab&amp;search_scope=EVERYTHING&amp;vid=01CRU&amp;lang=en_US&amp;offset=0&amp;query=any,contains,991000801239702656","Catalog Record")</f>
        <v/>
      </c>
      <c r="AV651">
        <f>HYPERLINK("http://www.worldcat.org/oclc/13240576","WorldCat Record")</f>
        <v/>
      </c>
      <c r="AW651" t="inlineStr">
        <is>
          <t>11612278:spa</t>
        </is>
      </c>
      <c r="AX651" t="inlineStr">
        <is>
          <t>13240576</t>
        </is>
      </c>
      <c r="AY651" t="inlineStr">
        <is>
          <t>991000801239702656</t>
        </is>
      </c>
      <c r="AZ651" t="inlineStr">
        <is>
          <t>991000801239702656</t>
        </is>
      </c>
      <c r="BA651" t="inlineStr">
        <is>
          <t>2270250260002656</t>
        </is>
      </c>
      <c r="BB651" t="inlineStr">
        <is>
          <t>BOOK</t>
        </is>
      </c>
      <c r="BD651" t="inlineStr">
        <is>
          <t>9788423314140</t>
        </is>
      </c>
      <c r="BE651" t="inlineStr">
        <is>
          <t>32285000632280</t>
        </is>
      </c>
      <c r="BF651" t="inlineStr">
        <is>
          <t>893225317</t>
        </is>
      </c>
    </row>
    <row r="652">
      <c r="A652" t="inlineStr">
        <is>
          <t>No</t>
        </is>
      </c>
      <c r="B652" t="inlineStr">
        <is>
          <t>CURAL</t>
        </is>
      </c>
      <c r="C652" t="inlineStr">
        <is>
          <t>SHELVES</t>
        </is>
      </c>
      <c r="D652" t="inlineStr">
        <is>
          <t>PQ6601.R58 T6 1983</t>
        </is>
      </c>
      <c r="E652" t="inlineStr">
        <is>
          <t>0                      PQ 6601000R  58                 T  6           1983</t>
        </is>
      </c>
      <c r="F652" t="inlineStr">
        <is>
          <t>La torre herida por el rayo / Fernando Arrabal.</t>
        </is>
      </c>
      <c r="H652" t="inlineStr">
        <is>
          <t>No</t>
        </is>
      </c>
      <c r="I652" t="inlineStr">
        <is>
          <t>1</t>
        </is>
      </c>
      <c r="J652" t="inlineStr">
        <is>
          <t>No</t>
        </is>
      </c>
      <c r="K652" t="inlineStr">
        <is>
          <t>No</t>
        </is>
      </c>
      <c r="L652" t="inlineStr">
        <is>
          <t>0</t>
        </is>
      </c>
      <c r="M652" t="inlineStr">
        <is>
          <t>Arrabal, Fernando.</t>
        </is>
      </c>
      <c r="N652" t="inlineStr">
        <is>
          <t>Barcelona : Ediciones Destino, 1983.</t>
        </is>
      </c>
      <c r="O652" t="inlineStr">
        <is>
          <t>1983</t>
        </is>
      </c>
      <c r="P652" t="inlineStr">
        <is>
          <t>1a ed.</t>
        </is>
      </c>
      <c r="Q652" t="inlineStr">
        <is>
          <t>spa</t>
        </is>
      </c>
      <c r="R652" t="inlineStr">
        <is>
          <t xml:space="preserve">sp </t>
        </is>
      </c>
      <c r="S652" t="inlineStr">
        <is>
          <t>Colección Ancora y delfín ; v. 570</t>
        </is>
      </c>
      <c r="T652" t="inlineStr">
        <is>
          <t xml:space="preserve">PQ </t>
        </is>
      </c>
      <c r="U652" t="n">
        <v>1</v>
      </c>
      <c r="V652" t="n">
        <v>1</v>
      </c>
      <c r="W652" t="inlineStr">
        <is>
          <t>1993-07-26</t>
        </is>
      </c>
      <c r="X652" t="inlineStr">
        <is>
          <t>1993-07-26</t>
        </is>
      </c>
      <c r="Y652" t="inlineStr">
        <is>
          <t>1991-06-25</t>
        </is>
      </c>
      <c r="Z652" t="inlineStr">
        <is>
          <t>1991-06-25</t>
        </is>
      </c>
      <c r="AA652" t="n">
        <v>284</v>
      </c>
      <c r="AB652" t="n">
        <v>221</v>
      </c>
      <c r="AC652" t="n">
        <v>242</v>
      </c>
      <c r="AD652" t="n">
        <v>1</v>
      </c>
      <c r="AE652" t="n">
        <v>1</v>
      </c>
      <c r="AF652" t="n">
        <v>13</v>
      </c>
      <c r="AG652" t="n">
        <v>14</v>
      </c>
      <c r="AH652" t="n">
        <v>3</v>
      </c>
      <c r="AI652" t="n">
        <v>4</v>
      </c>
      <c r="AJ652" t="n">
        <v>5</v>
      </c>
      <c r="AK652" t="n">
        <v>6</v>
      </c>
      <c r="AL652" t="n">
        <v>10</v>
      </c>
      <c r="AM652" t="n">
        <v>10</v>
      </c>
      <c r="AN652" t="n">
        <v>0</v>
      </c>
      <c r="AO652" t="n">
        <v>0</v>
      </c>
      <c r="AP652" t="n">
        <v>0</v>
      </c>
      <c r="AQ652" t="n">
        <v>0</v>
      </c>
      <c r="AR652" t="inlineStr">
        <is>
          <t>No</t>
        </is>
      </c>
      <c r="AS652" t="inlineStr">
        <is>
          <t>Yes</t>
        </is>
      </c>
      <c r="AT652">
        <f>HYPERLINK("http://catalog.hathitrust.org/Record/002934097","HathiTrust Record")</f>
        <v/>
      </c>
      <c r="AU652">
        <f>HYPERLINK("https://creighton-primo.hosted.exlibrisgroup.com/primo-explore/search?tab=default_tab&amp;search_scope=EVERYTHING&amp;vid=01CRU&amp;lang=en_US&amp;offset=0&amp;query=any,contains,991000335439702656","Catalog Record")</f>
        <v/>
      </c>
      <c r="AV652">
        <f>HYPERLINK("http://www.worldcat.org/oclc/10229584","WorldCat Record")</f>
        <v/>
      </c>
      <c r="AW652" t="inlineStr">
        <is>
          <t>345417:spa</t>
        </is>
      </c>
      <c r="AX652" t="inlineStr">
        <is>
          <t>10229584</t>
        </is>
      </c>
      <c r="AY652" t="inlineStr">
        <is>
          <t>991000335439702656</t>
        </is>
      </c>
      <c r="AZ652" t="inlineStr">
        <is>
          <t>991000335439702656</t>
        </is>
      </c>
      <c r="BA652" t="inlineStr">
        <is>
          <t>2264223710002656</t>
        </is>
      </c>
      <c r="BB652" t="inlineStr">
        <is>
          <t>BOOK</t>
        </is>
      </c>
      <c r="BD652" t="inlineStr">
        <is>
          <t>9788423312405</t>
        </is>
      </c>
      <c r="BE652" t="inlineStr">
        <is>
          <t>32285000632298</t>
        </is>
      </c>
      <c r="BF652" t="inlineStr">
        <is>
          <t>893243152</t>
        </is>
      </c>
    </row>
    <row r="653">
      <c r="A653" t="inlineStr">
        <is>
          <t>No</t>
        </is>
      </c>
      <c r="B653" t="inlineStr">
        <is>
          <t>CURAL</t>
        </is>
      </c>
      <c r="C653" t="inlineStr">
        <is>
          <t>SHELVES</t>
        </is>
      </c>
      <c r="D653" t="inlineStr">
        <is>
          <t>PQ6601.U2 C29 1978</t>
        </is>
      </c>
      <c r="E653" t="inlineStr">
        <is>
          <t>0                      PQ 6601000U  2                  C  29          1978</t>
        </is>
      </c>
      <c r="F653" t="inlineStr">
        <is>
          <t>Campo abierto / [por] Max Aub.</t>
        </is>
      </c>
      <c r="H653" t="inlineStr">
        <is>
          <t>No</t>
        </is>
      </c>
      <c r="I653" t="inlineStr">
        <is>
          <t>1</t>
        </is>
      </c>
      <c r="J653" t="inlineStr">
        <is>
          <t>No</t>
        </is>
      </c>
      <c r="K653" t="inlineStr">
        <is>
          <t>No</t>
        </is>
      </c>
      <c r="L653" t="inlineStr">
        <is>
          <t>0</t>
        </is>
      </c>
      <c r="M653" t="inlineStr">
        <is>
          <t>Aub, Max, 1903-1972.</t>
        </is>
      </c>
      <c r="N653" t="inlineStr">
        <is>
          <t>Madrid : Alfaguara, 1978 printing.</t>
        </is>
      </c>
      <c r="O653" t="inlineStr">
        <is>
          <t>1978</t>
        </is>
      </c>
      <c r="Q653" t="inlineStr">
        <is>
          <t>spa</t>
        </is>
      </c>
      <c r="R653" t="inlineStr">
        <is>
          <t xml:space="preserve">sp </t>
        </is>
      </c>
      <c r="S653" t="inlineStr">
        <is>
          <t>His El Laberinto mágico ; 2</t>
        </is>
      </c>
      <c r="T653" t="inlineStr">
        <is>
          <t xml:space="preserve">PQ </t>
        </is>
      </c>
      <c r="U653" t="n">
        <v>3</v>
      </c>
      <c r="V653" t="n">
        <v>3</v>
      </c>
      <c r="W653" t="inlineStr">
        <is>
          <t>1994-01-24</t>
        </is>
      </c>
      <c r="X653" t="inlineStr">
        <is>
          <t>1994-01-24</t>
        </is>
      </c>
      <c r="Y653" t="inlineStr">
        <is>
          <t>1991-06-25</t>
        </is>
      </c>
      <c r="Z653" t="inlineStr">
        <is>
          <t>1991-06-25</t>
        </is>
      </c>
      <c r="AA653" t="n">
        <v>108</v>
      </c>
      <c r="AB653" t="n">
        <v>74</v>
      </c>
      <c r="AC653" t="n">
        <v>176</v>
      </c>
      <c r="AD653" t="n">
        <v>1</v>
      </c>
      <c r="AE653" t="n">
        <v>1</v>
      </c>
      <c r="AF653" t="n">
        <v>2</v>
      </c>
      <c r="AG653" t="n">
        <v>4</v>
      </c>
      <c r="AH653" t="n">
        <v>0</v>
      </c>
      <c r="AI653" t="n">
        <v>0</v>
      </c>
      <c r="AJ653" t="n">
        <v>2</v>
      </c>
      <c r="AK653" t="n">
        <v>3</v>
      </c>
      <c r="AL653" t="n">
        <v>1</v>
      </c>
      <c r="AM653" t="n">
        <v>2</v>
      </c>
      <c r="AN653" t="n">
        <v>0</v>
      </c>
      <c r="AO653" t="n">
        <v>0</v>
      </c>
      <c r="AP653" t="n">
        <v>0</v>
      </c>
      <c r="AQ653" t="n">
        <v>0</v>
      </c>
      <c r="AR653" t="inlineStr">
        <is>
          <t>No</t>
        </is>
      </c>
      <c r="AS653" t="inlineStr">
        <is>
          <t>Yes</t>
        </is>
      </c>
      <c r="AT653">
        <f>HYPERLINK("http://catalog.hathitrust.org/Record/000683703","HathiTrust Record")</f>
        <v/>
      </c>
      <c r="AU653">
        <f>HYPERLINK("https://creighton-primo.hosted.exlibrisgroup.com/primo-explore/search?tab=default_tab&amp;search_scope=EVERYTHING&amp;vid=01CRU&amp;lang=en_US&amp;offset=0&amp;query=any,contains,991004879149702656","Catalog Record")</f>
        <v/>
      </c>
      <c r="AV653">
        <f>HYPERLINK("http://www.worldcat.org/oclc/5805254","WorldCat Record")</f>
        <v/>
      </c>
      <c r="AW653" t="inlineStr">
        <is>
          <t>5439244:spa</t>
        </is>
      </c>
      <c r="AX653" t="inlineStr">
        <is>
          <t>5805254</t>
        </is>
      </c>
      <c r="AY653" t="inlineStr">
        <is>
          <t>991004879149702656</t>
        </is>
      </c>
      <c r="AZ653" t="inlineStr">
        <is>
          <t>991004879149702656</t>
        </is>
      </c>
      <c r="BA653" t="inlineStr">
        <is>
          <t>2261731450002656</t>
        </is>
      </c>
      <c r="BB653" t="inlineStr">
        <is>
          <t>BOOK</t>
        </is>
      </c>
      <c r="BD653" t="inlineStr">
        <is>
          <t>9788420420158</t>
        </is>
      </c>
      <c r="BE653" t="inlineStr">
        <is>
          <t>32285000632348</t>
        </is>
      </c>
      <c r="BF653" t="inlineStr">
        <is>
          <t>893719513</t>
        </is>
      </c>
    </row>
    <row r="654">
      <c r="A654" t="inlineStr">
        <is>
          <t>No</t>
        </is>
      </c>
      <c r="B654" t="inlineStr">
        <is>
          <t>CURAL</t>
        </is>
      </c>
      <c r="C654" t="inlineStr">
        <is>
          <t>SHELVES</t>
        </is>
      </c>
      <c r="D654" t="inlineStr">
        <is>
          <t>PQ6601.U2 C33</t>
        </is>
      </c>
      <c r="E654" t="inlineStr">
        <is>
          <t>0                      PQ 6601000U  2                  C  33</t>
        </is>
      </c>
      <c r="F654" t="inlineStr">
        <is>
          <t>Campo de sangre / [por] Max Aub.</t>
        </is>
      </c>
      <c r="H654" t="inlineStr">
        <is>
          <t>No</t>
        </is>
      </c>
      <c r="I654" t="inlineStr">
        <is>
          <t>1</t>
        </is>
      </c>
      <c r="J654" t="inlineStr">
        <is>
          <t>No</t>
        </is>
      </c>
      <c r="K654" t="inlineStr">
        <is>
          <t>No</t>
        </is>
      </c>
      <c r="L654" t="inlineStr">
        <is>
          <t>0</t>
        </is>
      </c>
      <c r="M654" t="inlineStr">
        <is>
          <t>Aub, Max, 1903-1972.</t>
        </is>
      </c>
      <c r="N654" t="inlineStr">
        <is>
          <t>Madrid [etc.] : Alfaguara [etc.], 1979.</t>
        </is>
      </c>
      <c r="O654" t="inlineStr">
        <is>
          <t>1979</t>
        </is>
      </c>
      <c r="Q654" t="inlineStr">
        <is>
          <t>spa</t>
        </is>
      </c>
      <c r="R654" t="inlineStr">
        <is>
          <t xml:space="preserve">sp </t>
        </is>
      </c>
      <c r="S654" t="inlineStr">
        <is>
          <t>His El Laberinto mágico ; 3</t>
        </is>
      </c>
      <c r="T654" t="inlineStr">
        <is>
          <t xml:space="preserve">PQ </t>
        </is>
      </c>
      <c r="U654" t="n">
        <v>1</v>
      </c>
      <c r="V654" t="n">
        <v>1</v>
      </c>
      <c r="W654" t="inlineStr">
        <is>
          <t>1994-02-21</t>
        </is>
      </c>
      <c r="X654" t="inlineStr">
        <is>
          <t>1994-02-21</t>
        </is>
      </c>
      <c r="Y654" t="inlineStr">
        <is>
          <t>1991-06-25</t>
        </is>
      </c>
      <c r="Z654" t="inlineStr">
        <is>
          <t>1991-06-25</t>
        </is>
      </c>
      <c r="AA654" t="n">
        <v>56</v>
      </c>
      <c r="AB654" t="n">
        <v>37</v>
      </c>
      <c r="AC654" t="n">
        <v>42</v>
      </c>
      <c r="AD654" t="n">
        <v>1</v>
      </c>
      <c r="AE654" t="n">
        <v>1</v>
      </c>
      <c r="AF654" t="n">
        <v>1</v>
      </c>
      <c r="AG654" t="n">
        <v>1</v>
      </c>
      <c r="AH654" t="n">
        <v>0</v>
      </c>
      <c r="AI654" t="n">
        <v>0</v>
      </c>
      <c r="AJ654" t="n">
        <v>1</v>
      </c>
      <c r="AK654" t="n">
        <v>1</v>
      </c>
      <c r="AL654" t="n">
        <v>1</v>
      </c>
      <c r="AM654" t="n">
        <v>1</v>
      </c>
      <c r="AN654" t="n">
        <v>0</v>
      </c>
      <c r="AO654" t="n">
        <v>0</v>
      </c>
      <c r="AP654" t="n">
        <v>0</v>
      </c>
      <c r="AQ654" t="n">
        <v>0</v>
      </c>
      <c r="AR654" t="inlineStr">
        <is>
          <t>No</t>
        </is>
      </c>
      <c r="AS654" t="inlineStr">
        <is>
          <t>No</t>
        </is>
      </c>
      <c r="AU654">
        <f>HYPERLINK("https://creighton-primo.hosted.exlibrisgroup.com/primo-explore/search?tab=default_tab&amp;search_scope=EVERYTHING&amp;vid=01CRU&amp;lang=en_US&amp;offset=0&amp;query=any,contains,991004928809702656","Catalog Record")</f>
        <v/>
      </c>
      <c r="AV654">
        <f>HYPERLINK("http://www.worldcat.org/oclc/6089155","WorldCat Record")</f>
        <v/>
      </c>
      <c r="AW654" t="inlineStr">
        <is>
          <t>10200756427:spa</t>
        </is>
      </c>
      <c r="AX654" t="inlineStr">
        <is>
          <t>6089155</t>
        </is>
      </c>
      <c r="AY654" t="inlineStr">
        <is>
          <t>991004928809702656</t>
        </is>
      </c>
      <c r="AZ654" t="inlineStr">
        <is>
          <t>991004928809702656</t>
        </is>
      </c>
      <c r="BA654" t="inlineStr">
        <is>
          <t>2259325770002656</t>
        </is>
      </c>
      <c r="BB654" t="inlineStr">
        <is>
          <t>BOOK</t>
        </is>
      </c>
      <c r="BD654" t="inlineStr">
        <is>
          <t>9788420420172</t>
        </is>
      </c>
      <c r="BE654" t="inlineStr">
        <is>
          <t>32285000632363</t>
        </is>
      </c>
      <c r="BF654" t="inlineStr">
        <is>
          <t>893889437</t>
        </is>
      </c>
    </row>
    <row r="655">
      <c r="A655" t="inlineStr">
        <is>
          <t>No</t>
        </is>
      </c>
      <c r="B655" t="inlineStr">
        <is>
          <t>CURAL</t>
        </is>
      </c>
      <c r="C655" t="inlineStr">
        <is>
          <t>SHELVES</t>
        </is>
      </c>
      <c r="D655" t="inlineStr">
        <is>
          <t>PQ6601.Y3 J3 1973</t>
        </is>
      </c>
      <c r="E655" t="inlineStr">
        <is>
          <t>0                      PQ 6601000Y  3                  J  3           1973</t>
        </is>
      </c>
      <c r="F655" t="inlineStr">
        <is>
          <t>El jardín de las delicias / Francisco Ayala.</t>
        </is>
      </c>
      <c r="H655" t="inlineStr">
        <is>
          <t>No</t>
        </is>
      </c>
      <c r="I655" t="inlineStr">
        <is>
          <t>1</t>
        </is>
      </c>
      <c r="J655" t="inlineStr">
        <is>
          <t>No</t>
        </is>
      </c>
      <c r="K655" t="inlineStr">
        <is>
          <t>No</t>
        </is>
      </c>
      <c r="L655" t="inlineStr">
        <is>
          <t>0</t>
        </is>
      </c>
      <c r="M655" t="inlineStr">
        <is>
          <t>Ayala, Francisco, 1906-2009.</t>
        </is>
      </c>
      <c r="N655" t="inlineStr">
        <is>
          <t>Barcelona : Editorial Seix Barral, [1973, c1971]</t>
        </is>
      </c>
      <c r="O655" t="inlineStr">
        <is>
          <t>1973</t>
        </is>
      </c>
      <c r="P655" t="inlineStr">
        <is>
          <t>[3. ed.]</t>
        </is>
      </c>
      <c r="Q655" t="inlineStr">
        <is>
          <t>spa</t>
        </is>
      </c>
      <c r="R655" t="inlineStr">
        <is>
          <t xml:space="preserve">xx </t>
        </is>
      </c>
      <c r="S655" t="inlineStr">
        <is>
          <t>Biblioteca breve, 317. Relatos</t>
        </is>
      </c>
      <c r="T655" t="inlineStr">
        <is>
          <t xml:space="preserve">PQ </t>
        </is>
      </c>
      <c r="U655" t="n">
        <v>1</v>
      </c>
      <c r="V655" t="n">
        <v>1</v>
      </c>
      <c r="W655" t="inlineStr">
        <is>
          <t>1992-12-22</t>
        </is>
      </c>
      <c r="X655" t="inlineStr">
        <is>
          <t>1992-12-22</t>
        </is>
      </c>
      <c r="Y655" t="inlineStr">
        <is>
          <t>1990-06-13</t>
        </is>
      </c>
      <c r="Z655" t="inlineStr">
        <is>
          <t>1990-06-13</t>
        </is>
      </c>
      <c r="AA655" t="n">
        <v>55</v>
      </c>
      <c r="AB655" t="n">
        <v>41</v>
      </c>
      <c r="AC655" t="n">
        <v>117</v>
      </c>
      <c r="AD655" t="n">
        <v>1</v>
      </c>
      <c r="AE655" t="n">
        <v>1</v>
      </c>
      <c r="AF655" t="n">
        <v>1</v>
      </c>
      <c r="AG655" t="n">
        <v>3</v>
      </c>
      <c r="AH655" t="n">
        <v>0</v>
      </c>
      <c r="AI655" t="n">
        <v>1</v>
      </c>
      <c r="AJ655" t="n">
        <v>1</v>
      </c>
      <c r="AK655" t="n">
        <v>3</v>
      </c>
      <c r="AL655" t="n">
        <v>1</v>
      </c>
      <c r="AM655" t="n">
        <v>1</v>
      </c>
      <c r="AN655" t="n">
        <v>0</v>
      </c>
      <c r="AO655" t="n">
        <v>0</v>
      </c>
      <c r="AP655" t="n">
        <v>0</v>
      </c>
      <c r="AQ655" t="n">
        <v>0</v>
      </c>
      <c r="AR655" t="inlineStr">
        <is>
          <t>No</t>
        </is>
      </c>
      <c r="AS655" t="inlineStr">
        <is>
          <t>Yes</t>
        </is>
      </c>
      <c r="AT655">
        <f>HYPERLINK("http://catalog.hathitrust.org/Record/001521556","HathiTrust Record")</f>
        <v/>
      </c>
      <c r="AU655">
        <f>HYPERLINK("https://creighton-primo.hosted.exlibrisgroup.com/primo-explore/search?tab=default_tab&amp;search_scope=EVERYTHING&amp;vid=01CRU&amp;lang=en_US&amp;offset=0&amp;query=any,contains,991003847049702656","Catalog Record")</f>
        <v/>
      </c>
      <c r="AV655">
        <f>HYPERLINK("http://www.worldcat.org/oclc/1632916","WorldCat Record")</f>
        <v/>
      </c>
      <c r="AW655" t="inlineStr">
        <is>
          <t>350606415:spa</t>
        </is>
      </c>
      <c r="AX655" t="inlineStr">
        <is>
          <t>1632916</t>
        </is>
      </c>
      <c r="AY655" t="inlineStr">
        <is>
          <t>991003847049702656</t>
        </is>
      </c>
      <c r="AZ655" t="inlineStr">
        <is>
          <t>991003847049702656</t>
        </is>
      </c>
      <c r="BA655" t="inlineStr">
        <is>
          <t>2257945180002656</t>
        </is>
      </c>
      <c r="BB655" t="inlineStr">
        <is>
          <t>BOOK</t>
        </is>
      </c>
      <c r="BE655" t="inlineStr">
        <is>
          <t>32285000176197</t>
        </is>
      </c>
      <c r="BF655" t="inlineStr">
        <is>
          <t>893800226</t>
        </is>
      </c>
    </row>
    <row r="656">
      <c r="A656" t="inlineStr">
        <is>
          <t>No</t>
        </is>
      </c>
      <c r="B656" t="inlineStr">
        <is>
          <t>CURAL</t>
        </is>
      </c>
      <c r="C656" t="inlineStr">
        <is>
          <t>SHELVES</t>
        </is>
      </c>
      <c r="D656" t="inlineStr">
        <is>
          <t>PQ6601.Y3 Z678 1972</t>
        </is>
      </c>
      <c r="E656" t="inlineStr">
        <is>
          <t>0                      PQ 6601000Y  3                  Z  678         1972</t>
        </is>
      </c>
      <c r="F656" t="inlineStr">
        <is>
          <t>Las alusiones literarias en la obra narrativa de Francisco Ayala / Rosario H. Hiriart.</t>
        </is>
      </c>
      <c r="H656" t="inlineStr">
        <is>
          <t>No</t>
        </is>
      </c>
      <c r="I656" t="inlineStr">
        <is>
          <t>1</t>
        </is>
      </c>
      <c r="J656" t="inlineStr">
        <is>
          <t>No</t>
        </is>
      </c>
      <c r="K656" t="inlineStr">
        <is>
          <t>No</t>
        </is>
      </c>
      <c r="L656" t="inlineStr">
        <is>
          <t>0</t>
        </is>
      </c>
      <c r="M656" t="inlineStr">
        <is>
          <t>Hiriart, Rosario.</t>
        </is>
      </c>
      <c r="N656" t="inlineStr">
        <is>
          <t>New York : Eliseo Torres &amp; Sons, c1972.</t>
        </is>
      </c>
      <c r="O656" t="inlineStr">
        <is>
          <t>1972</t>
        </is>
      </c>
      <c r="Q656" t="inlineStr">
        <is>
          <t>spa</t>
        </is>
      </c>
      <c r="R656" t="inlineStr">
        <is>
          <t>nyu</t>
        </is>
      </c>
      <c r="S656" t="inlineStr">
        <is>
          <t>Torres library of literary studies ; 16</t>
        </is>
      </c>
      <c r="T656" t="inlineStr">
        <is>
          <t xml:space="preserve">PQ </t>
        </is>
      </c>
      <c r="U656" t="n">
        <v>1</v>
      </c>
      <c r="V656" t="n">
        <v>1</v>
      </c>
      <c r="W656" t="inlineStr">
        <is>
          <t>2005-03-02</t>
        </is>
      </c>
      <c r="X656" t="inlineStr">
        <is>
          <t>2005-03-02</t>
        </is>
      </c>
      <c r="Y656" t="inlineStr">
        <is>
          <t>2005-03-02</t>
        </is>
      </c>
      <c r="Z656" t="inlineStr">
        <is>
          <t>2005-03-02</t>
        </is>
      </c>
      <c r="AA656" t="n">
        <v>159</v>
      </c>
      <c r="AB656" t="n">
        <v>131</v>
      </c>
      <c r="AC656" t="n">
        <v>133</v>
      </c>
      <c r="AD656" t="n">
        <v>2</v>
      </c>
      <c r="AE656" t="n">
        <v>2</v>
      </c>
      <c r="AF656" t="n">
        <v>3</v>
      </c>
      <c r="AG656" t="n">
        <v>3</v>
      </c>
      <c r="AH656" t="n">
        <v>1</v>
      </c>
      <c r="AI656" t="n">
        <v>1</v>
      </c>
      <c r="AJ656" t="n">
        <v>1</v>
      </c>
      <c r="AK656" t="n">
        <v>1</v>
      </c>
      <c r="AL656" t="n">
        <v>1</v>
      </c>
      <c r="AM656" t="n">
        <v>1</v>
      </c>
      <c r="AN656" t="n">
        <v>1</v>
      </c>
      <c r="AO656" t="n">
        <v>1</v>
      </c>
      <c r="AP656" t="n">
        <v>0</v>
      </c>
      <c r="AQ656" t="n">
        <v>0</v>
      </c>
      <c r="AR656" t="inlineStr">
        <is>
          <t>No</t>
        </is>
      </c>
      <c r="AS656" t="inlineStr">
        <is>
          <t>Yes</t>
        </is>
      </c>
      <c r="AT656">
        <f>HYPERLINK("http://catalog.hathitrust.org/Record/000014456","HathiTrust Record")</f>
        <v/>
      </c>
      <c r="AU656">
        <f>HYPERLINK("https://creighton-primo.hosted.exlibrisgroup.com/primo-explore/search?tab=default_tab&amp;search_scope=EVERYTHING&amp;vid=01CRU&amp;lang=en_US&amp;offset=0&amp;query=any,contains,991004490799702656","Catalog Record")</f>
        <v/>
      </c>
      <c r="AV656">
        <f>HYPERLINK("http://www.worldcat.org/oclc/30767050","WorldCat Record")</f>
        <v/>
      </c>
      <c r="AW656" t="inlineStr">
        <is>
          <t>376138881:spa</t>
        </is>
      </c>
      <c r="AX656" t="inlineStr">
        <is>
          <t>30767050</t>
        </is>
      </c>
      <c r="AY656" t="inlineStr">
        <is>
          <t>991004490799702656</t>
        </is>
      </c>
      <c r="AZ656" t="inlineStr">
        <is>
          <t>991004490799702656</t>
        </is>
      </c>
      <c r="BA656" t="inlineStr">
        <is>
          <t>2257013720002656</t>
        </is>
      </c>
      <c r="BB656" t="inlineStr">
        <is>
          <t>BOOK</t>
        </is>
      </c>
      <c r="BE656" t="inlineStr">
        <is>
          <t>32285005029094</t>
        </is>
      </c>
      <c r="BF656" t="inlineStr">
        <is>
          <t>893712662</t>
        </is>
      </c>
    </row>
    <row r="657">
      <c r="A657" t="inlineStr">
        <is>
          <t>No</t>
        </is>
      </c>
      <c r="B657" t="inlineStr">
        <is>
          <t>CURAL</t>
        </is>
      </c>
      <c r="C657" t="inlineStr">
        <is>
          <t>SHELVES</t>
        </is>
      </c>
      <c r="D657" t="inlineStr">
        <is>
          <t>PQ6603.A7 A9 1969</t>
        </is>
      </c>
      <c r="E657" t="inlineStr">
        <is>
          <t>0                      PQ 6603000A  7                  A  9           1969</t>
        </is>
      </c>
      <c r="F657" t="inlineStr">
        <is>
          <t>El arbol de la ciencia.</t>
        </is>
      </c>
      <c r="H657" t="inlineStr">
        <is>
          <t>No</t>
        </is>
      </c>
      <c r="I657" t="inlineStr">
        <is>
          <t>1</t>
        </is>
      </c>
      <c r="J657" t="inlineStr">
        <is>
          <t>No</t>
        </is>
      </c>
      <c r="K657" t="inlineStr">
        <is>
          <t>No</t>
        </is>
      </c>
      <c r="L657" t="inlineStr">
        <is>
          <t>0</t>
        </is>
      </c>
      <c r="M657" t="inlineStr">
        <is>
          <t>Baroja, Pío, 1872-1956.</t>
        </is>
      </c>
      <c r="N657" t="inlineStr">
        <is>
          <t>Alianza Editorial [c1969]</t>
        </is>
      </c>
      <c r="O657" t="inlineStr">
        <is>
          <t>1969</t>
        </is>
      </c>
      <c r="P657" t="inlineStr">
        <is>
          <t>[3. ed.]</t>
        </is>
      </c>
      <c r="Q657" t="inlineStr">
        <is>
          <t>spa</t>
        </is>
      </c>
      <c r="R657" t="inlineStr">
        <is>
          <t xml:space="preserve">xx </t>
        </is>
      </c>
      <c r="S657" t="inlineStr">
        <is>
          <t>El libro de bolsillo, 50</t>
        </is>
      </c>
      <c r="T657" t="inlineStr">
        <is>
          <t xml:space="preserve">PQ </t>
        </is>
      </c>
      <c r="U657" t="n">
        <v>3</v>
      </c>
      <c r="V657" t="n">
        <v>3</v>
      </c>
      <c r="W657" t="inlineStr">
        <is>
          <t>2004-09-28</t>
        </is>
      </c>
      <c r="X657" t="inlineStr">
        <is>
          <t>2004-09-28</t>
        </is>
      </c>
      <c r="Y657" t="inlineStr">
        <is>
          <t>1997-07-24</t>
        </is>
      </c>
      <c r="Z657" t="inlineStr">
        <is>
          <t>1997-07-24</t>
        </is>
      </c>
      <c r="AA657" t="n">
        <v>52</v>
      </c>
      <c r="AB657" t="n">
        <v>47</v>
      </c>
      <c r="AC657" t="n">
        <v>965</v>
      </c>
      <c r="AD657" t="n">
        <v>1</v>
      </c>
      <c r="AE657" t="n">
        <v>6</v>
      </c>
      <c r="AF657" t="n">
        <v>0</v>
      </c>
      <c r="AG657" t="n">
        <v>43</v>
      </c>
      <c r="AH657" t="n">
        <v>0</v>
      </c>
      <c r="AI657" t="n">
        <v>18</v>
      </c>
      <c r="AJ657" t="n">
        <v>0</v>
      </c>
      <c r="AK657" t="n">
        <v>9</v>
      </c>
      <c r="AL657" t="n">
        <v>0</v>
      </c>
      <c r="AM657" t="n">
        <v>21</v>
      </c>
      <c r="AN657" t="n">
        <v>0</v>
      </c>
      <c r="AO657" t="n">
        <v>5</v>
      </c>
      <c r="AP657" t="n">
        <v>0</v>
      </c>
      <c r="AQ657" t="n">
        <v>0</v>
      </c>
      <c r="AR657" t="inlineStr">
        <is>
          <t>No</t>
        </is>
      </c>
      <c r="AS657" t="inlineStr">
        <is>
          <t>No</t>
        </is>
      </c>
      <c r="AU657">
        <f>HYPERLINK("https://creighton-primo.hosted.exlibrisgroup.com/primo-explore/search?tab=default_tab&amp;search_scope=EVERYTHING&amp;vid=01CRU&amp;lang=en_US&amp;offset=0&amp;query=any,contains,991001147849702656","Catalog Record")</f>
        <v/>
      </c>
      <c r="AV657">
        <f>HYPERLINK("http://www.worldcat.org/oclc/185700","WorldCat Record")</f>
        <v/>
      </c>
      <c r="AW657" t="inlineStr">
        <is>
          <t>1817556:spa</t>
        </is>
      </c>
      <c r="AX657" t="inlineStr">
        <is>
          <t>185700</t>
        </is>
      </c>
      <c r="AY657" t="inlineStr">
        <is>
          <t>991001147849702656</t>
        </is>
      </c>
      <c r="AZ657" t="inlineStr">
        <is>
          <t>991001147849702656</t>
        </is>
      </c>
      <c r="BA657" t="inlineStr">
        <is>
          <t>2268907550002656</t>
        </is>
      </c>
      <c r="BB657" t="inlineStr">
        <is>
          <t>BOOK</t>
        </is>
      </c>
      <c r="BE657" t="inlineStr">
        <is>
          <t>32285002941879</t>
        </is>
      </c>
      <c r="BF657" t="inlineStr">
        <is>
          <t>893231742</t>
        </is>
      </c>
    </row>
    <row r="658">
      <c r="A658" t="inlineStr">
        <is>
          <t>No</t>
        </is>
      </c>
      <c r="B658" t="inlineStr">
        <is>
          <t>CURAL</t>
        </is>
      </c>
      <c r="C658" t="inlineStr">
        <is>
          <t>SHELVES</t>
        </is>
      </c>
      <c r="D658" t="inlineStr">
        <is>
          <t>PQ6603.A7 C2337 1985</t>
        </is>
      </c>
      <c r="E658" t="inlineStr">
        <is>
          <t>0                      PQ 6603000A  7                  C  2337        1985</t>
        </is>
      </c>
      <c r="F658" t="inlineStr">
        <is>
          <t>Contexto, estructura y sentido de "Camino de perfección" de Pío Baroja / Manuel Sol T.</t>
        </is>
      </c>
      <c r="H658" t="inlineStr">
        <is>
          <t>No</t>
        </is>
      </c>
      <c r="I658" t="inlineStr">
        <is>
          <t>1</t>
        </is>
      </c>
      <c r="J658" t="inlineStr">
        <is>
          <t>No</t>
        </is>
      </c>
      <c r="K658" t="inlineStr">
        <is>
          <t>No</t>
        </is>
      </c>
      <c r="L658" t="inlineStr">
        <is>
          <t>0</t>
        </is>
      </c>
      <c r="M658" t="inlineStr">
        <is>
          <t>Sol T., Manuel.</t>
        </is>
      </c>
      <c r="N658" t="inlineStr">
        <is>
          <t>Xalapa, Ver., Mexico : Centro de Investigaciones Lingüístico-Literarias, Instituto de Investigaciones Humanísticas, Universidad Veracruzana, c1985.</t>
        </is>
      </c>
      <c r="O658" t="inlineStr">
        <is>
          <t>1985</t>
        </is>
      </c>
      <c r="Q658" t="inlineStr">
        <is>
          <t>spa</t>
        </is>
      </c>
      <c r="R658" t="inlineStr">
        <is>
          <t xml:space="preserve">mx </t>
        </is>
      </c>
      <c r="T658" t="inlineStr">
        <is>
          <t xml:space="preserve">PQ </t>
        </is>
      </c>
      <c r="U658" t="n">
        <v>1</v>
      </c>
      <c r="V658" t="n">
        <v>1</v>
      </c>
      <c r="W658" t="inlineStr">
        <is>
          <t>2005-03-02</t>
        </is>
      </c>
      <c r="X658" t="inlineStr">
        <is>
          <t>2005-03-02</t>
        </is>
      </c>
      <c r="Y658" t="inlineStr">
        <is>
          <t>2005-03-02</t>
        </is>
      </c>
      <c r="Z658" t="inlineStr">
        <is>
          <t>2005-03-02</t>
        </is>
      </c>
      <c r="AA658" t="n">
        <v>62</v>
      </c>
      <c r="AB658" t="n">
        <v>41</v>
      </c>
      <c r="AC658" t="n">
        <v>43</v>
      </c>
      <c r="AD658" t="n">
        <v>1</v>
      </c>
      <c r="AE658" t="n">
        <v>1</v>
      </c>
      <c r="AF658" t="n">
        <v>1</v>
      </c>
      <c r="AG658" t="n">
        <v>1</v>
      </c>
      <c r="AH658" t="n">
        <v>0</v>
      </c>
      <c r="AI658" t="n">
        <v>0</v>
      </c>
      <c r="AJ658" t="n">
        <v>1</v>
      </c>
      <c r="AK658" t="n">
        <v>1</v>
      </c>
      <c r="AL658" t="n">
        <v>1</v>
      </c>
      <c r="AM658" t="n">
        <v>1</v>
      </c>
      <c r="AN658" t="n">
        <v>0</v>
      </c>
      <c r="AO658" t="n">
        <v>0</v>
      </c>
      <c r="AP658" t="n">
        <v>0</v>
      </c>
      <c r="AQ658" t="n">
        <v>0</v>
      </c>
      <c r="AR658" t="inlineStr">
        <is>
          <t>No</t>
        </is>
      </c>
      <c r="AS658" t="inlineStr">
        <is>
          <t>Yes</t>
        </is>
      </c>
      <c r="AT658">
        <f>HYPERLINK("http://catalog.hathitrust.org/Record/006683252","HathiTrust Record")</f>
        <v/>
      </c>
      <c r="AU658">
        <f>HYPERLINK("https://creighton-primo.hosted.exlibrisgroup.com/primo-explore/search?tab=default_tab&amp;search_scope=EVERYTHING&amp;vid=01CRU&amp;lang=en_US&amp;offset=0&amp;query=any,contains,991004490629702656","Catalog Record")</f>
        <v/>
      </c>
      <c r="AV658">
        <f>HYPERLINK("http://www.worldcat.org/oclc/14951155","WorldCat Record")</f>
        <v/>
      </c>
      <c r="AW658" t="inlineStr">
        <is>
          <t>8093682:spa</t>
        </is>
      </c>
      <c r="AX658" t="inlineStr">
        <is>
          <t>14951155</t>
        </is>
      </c>
      <c r="AY658" t="inlineStr">
        <is>
          <t>991004490629702656</t>
        </is>
      </c>
      <c r="AZ658" t="inlineStr">
        <is>
          <t>991004490629702656</t>
        </is>
      </c>
      <c r="BA658" t="inlineStr">
        <is>
          <t>2265221130002656</t>
        </is>
      </c>
      <c r="BB658" t="inlineStr">
        <is>
          <t>BOOK</t>
        </is>
      </c>
      <c r="BD658" t="inlineStr">
        <is>
          <t>9789688340202</t>
        </is>
      </c>
      <c r="BE658" t="inlineStr">
        <is>
          <t>32285005028898</t>
        </is>
      </c>
      <c r="BF658" t="inlineStr">
        <is>
          <t>893229422</t>
        </is>
      </c>
    </row>
    <row r="659">
      <c r="A659" t="inlineStr">
        <is>
          <t>No</t>
        </is>
      </c>
      <c r="B659" t="inlineStr">
        <is>
          <t>CURAL</t>
        </is>
      </c>
      <c r="C659" t="inlineStr">
        <is>
          <t>SHELVES</t>
        </is>
      </c>
      <c r="D659" t="inlineStr">
        <is>
          <t>PQ6603.A7 Z63</t>
        </is>
      </c>
      <c r="E659" t="inlineStr">
        <is>
          <t>0                      PQ 6603000A  7                  Z  63</t>
        </is>
      </c>
      <c r="F659" t="inlineStr">
        <is>
          <t>Pío Baroja / by Beatrice P. Patt.</t>
        </is>
      </c>
      <c r="H659" t="inlineStr">
        <is>
          <t>No</t>
        </is>
      </c>
      <c r="I659" t="inlineStr">
        <is>
          <t>1</t>
        </is>
      </c>
      <c r="J659" t="inlineStr">
        <is>
          <t>No</t>
        </is>
      </c>
      <c r="K659" t="inlineStr">
        <is>
          <t>No</t>
        </is>
      </c>
      <c r="L659" t="inlineStr">
        <is>
          <t>0</t>
        </is>
      </c>
      <c r="M659" t="inlineStr">
        <is>
          <t>Patt, Beatrice P.</t>
        </is>
      </c>
      <c r="N659" t="inlineStr">
        <is>
          <t>New York : Twayne Publishers, [1971]</t>
        </is>
      </c>
      <c r="O659" t="inlineStr">
        <is>
          <t>1971</t>
        </is>
      </c>
      <c r="Q659" t="inlineStr">
        <is>
          <t>eng</t>
        </is>
      </c>
      <c r="R659" t="inlineStr">
        <is>
          <t>nyu</t>
        </is>
      </c>
      <c r="S659" t="inlineStr">
        <is>
          <t>Twayne's world authors series, TWAS 146. Spain</t>
        </is>
      </c>
      <c r="T659" t="inlineStr">
        <is>
          <t xml:space="preserve">PQ </t>
        </is>
      </c>
      <c r="U659" t="n">
        <v>1</v>
      </c>
      <c r="V659" t="n">
        <v>1</v>
      </c>
      <c r="W659" t="inlineStr">
        <is>
          <t>2002-11-03</t>
        </is>
      </c>
      <c r="X659" t="inlineStr">
        <is>
          <t>2002-11-03</t>
        </is>
      </c>
      <c r="Y659" t="inlineStr">
        <is>
          <t>1991-07-03</t>
        </is>
      </c>
      <c r="Z659" t="inlineStr">
        <is>
          <t>1991-07-03</t>
        </is>
      </c>
      <c r="AA659" t="n">
        <v>671</v>
      </c>
      <c r="AB659" t="n">
        <v>600</v>
      </c>
      <c r="AC659" t="n">
        <v>608</v>
      </c>
      <c r="AD659" t="n">
        <v>4</v>
      </c>
      <c r="AE659" t="n">
        <v>4</v>
      </c>
      <c r="AF659" t="n">
        <v>27</v>
      </c>
      <c r="AG659" t="n">
        <v>27</v>
      </c>
      <c r="AH659" t="n">
        <v>11</v>
      </c>
      <c r="AI659" t="n">
        <v>11</v>
      </c>
      <c r="AJ659" t="n">
        <v>6</v>
      </c>
      <c r="AK659" t="n">
        <v>6</v>
      </c>
      <c r="AL659" t="n">
        <v>16</v>
      </c>
      <c r="AM659" t="n">
        <v>16</v>
      </c>
      <c r="AN659" t="n">
        <v>3</v>
      </c>
      <c r="AO659" t="n">
        <v>3</v>
      </c>
      <c r="AP659" t="n">
        <v>0</v>
      </c>
      <c r="AQ659" t="n">
        <v>0</v>
      </c>
      <c r="AR659" t="inlineStr">
        <is>
          <t>No</t>
        </is>
      </c>
      <c r="AS659" t="inlineStr">
        <is>
          <t>Yes</t>
        </is>
      </c>
      <c r="AT659">
        <f>HYPERLINK("http://catalog.hathitrust.org/Record/001049880","HathiTrust Record")</f>
        <v/>
      </c>
      <c r="AU659">
        <f>HYPERLINK("https://creighton-primo.hosted.exlibrisgroup.com/primo-explore/search?tab=default_tab&amp;search_scope=EVERYTHING&amp;vid=01CRU&amp;lang=en_US&amp;offset=0&amp;query=any,contains,991002195079702656","Catalog Record")</f>
        <v/>
      </c>
      <c r="AV659">
        <f>HYPERLINK("http://www.worldcat.org/oclc/282672","WorldCat Record")</f>
        <v/>
      </c>
      <c r="AW659" t="inlineStr">
        <is>
          <t>143605393:eng</t>
        </is>
      </c>
      <c r="AX659" t="inlineStr">
        <is>
          <t>282672</t>
        </is>
      </c>
      <c r="AY659" t="inlineStr">
        <is>
          <t>991002195079702656</t>
        </is>
      </c>
      <c r="AZ659" t="inlineStr">
        <is>
          <t>991002195079702656</t>
        </is>
      </c>
      <c r="BA659" t="inlineStr">
        <is>
          <t>2266358990002656</t>
        </is>
      </c>
      <c r="BB659" t="inlineStr">
        <is>
          <t>BOOK</t>
        </is>
      </c>
      <c r="BE659" t="inlineStr">
        <is>
          <t>32285000632777</t>
        </is>
      </c>
      <c r="BF659" t="inlineStr">
        <is>
          <t>893256995</t>
        </is>
      </c>
    </row>
    <row r="660">
      <c r="A660" t="inlineStr">
        <is>
          <t>No</t>
        </is>
      </c>
      <c r="B660" t="inlineStr">
        <is>
          <t>CURAL</t>
        </is>
      </c>
      <c r="C660" t="inlineStr">
        <is>
          <t>SHELVES</t>
        </is>
      </c>
      <c r="D660" t="inlineStr">
        <is>
          <t>PQ6603.L2 E3</t>
        </is>
      </c>
      <c r="E660" t="inlineStr">
        <is>
          <t>0                      PQ 6603000L  2                  E  3</t>
        </is>
      </c>
      <c r="F660" t="inlineStr">
        <is>
          <t>En busca del Gran Kan / V. Blasco Ibáñez.</t>
        </is>
      </c>
      <c r="H660" t="inlineStr">
        <is>
          <t>No</t>
        </is>
      </c>
      <c r="I660" t="inlineStr">
        <is>
          <t>1</t>
        </is>
      </c>
      <c r="J660" t="inlineStr">
        <is>
          <t>No</t>
        </is>
      </c>
      <c r="K660" t="inlineStr">
        <is>
          <t>No</t>
        </is>
      </c>
      <c r="L660" t="inlineStr">
        <is>
          <t>0</t>
        </is>
      </c>
      <c r="M660" t="inlineStr">
        <is>
          <t>Blasco Ibáñez, Vicente, 1867-1928.</t>
        </is>
      </c>
      <c r="N660" t="inlineStr">
        <is>
          <t>Esplugas de Llobregat (Barcelona) : Plaza &amp; Janes, 1978, c1976.</t>
        </is>
      </c>
      <c r="O660" t="inlineStr">
        <is>
          <t>1978</t>
        </is>
      </c>
      <c r="P660" t="inlineStr">
        <is>
          <t>1. ed.</t>
        </is>
      </c>
      <c r="Q660" t="inlineStr">
        <is>
          <t>spa</t>
        </is>
      </c>
      <c r="R660" t="inlineStr">
        <is>
          <t xml:space="preserve">sp </t>
        </is>
      </c>
      <c r="S660" t="inlineStr">
        <is>
          <t>Obra de V. Blasco Ibanẽz</t>
        </is>
      </c>
      <c r="T660" t="inlineStr">
        <is>
          <t xml:space="preserve">PQ </t>
        </is>
      </c>
      <c r="U660" t="n">
        <v>0</v>
      </c>
      <c r="V660" t="n">
        <v>0</v>
      </c>
      <c r="W660" t="inlineStr">
        <is>
          <t>2001-09-17</t>
        </is>
      </c>
      <c r="X660" t="inlineStr">
        <is>
          <t>2001-09-17</t>
        </is>
      </c>
      <c r="Y660" t="inlineStr">
        <is>
          <t>1991-06-26</t>
        </is>
      </c>
      <c r="Z660" t="inlineStr">
        <is>
          <t>1991-06-26</t>
        </is>
      </c>
      <c r="AA660" t="n">
        <v>23</v>
      </c>
      <c r="AB660" t="n">
        <v>19</v>
      </c>
      <c r="AC660" t="n">
        <v>77</v>
      </c>
      <c r="AD660" t="n">
        <v>1</v>
      </c>
      <c r="AE660" t="n">
        <v>1</v>
      </c>
      <c r="AF660" t="n">
        <v>0</v>
      </c>
      <c r="AG660" t="n">
        <v>2</v>
      </c>
      <c r="AH660" t="n">
        <v>0</v>
      </c>
      <c r="AI660" t="n">
        <v>1</v>
      </c>
      <c r="AJ660" t="n">
        <v>0</v>
      </c>
      <c r="AK660" t="n">
        <v>1</v>
      </c>
      <c r="AL660" t="n">
        <v>0</v>
      </c>
      <c r="AM660" t="n">
        <v>1</v>
      </c>
      <c r="AN660" t="n">
        <v>0</v>
      </c>
      <c r="AO660" t="n">
        <v>0</v>
      </c>
      <c r="AP660" t="n">
        <v>0</v>
      </c>
      <c r="AQ660" t="n">
        <v>0</v>
      </c>
      <c r="AR660" t="inlineStr">
        <is>
          <t>No</t>
        </is>
      </c>
      <c r="AS660" t="inlineStr">
        <is>
          <t>No</t>
        </is>
      </c>
      <c r="AU660">
        <f>HYPERLINK("https://creighton-primo.hosted.exlibrisgroup.com/primo-explore/search?tab=default_tab&amp;search_scope=EVERYTHING&amp;vid=01CRU&amp;lang=en_US&amp;offset=0&amp;query=any,contains,991004698129702656","Catalog Record")</f>
        <v/>
      </c>
      <c r="AV660">
        <f>HYPERLINK("http://www.worldcat.org/oclc/4654133","WorldCat Record")</f>
        <v/>
      </c>
      <c r="AW660" t="inlineStr">
        <is>
          <t>3901163161:spa</t>
        </is>
      </c>
      <c r="AX660" t="inlineStr">
        <is>
          <t>4654133</t>
        </is>
      </c>
      <c r="AY660" t="inlineStr">
        <is>
          <t>991004698129702656</t>
        </is>
      </c>
      <c r="AZ660" t="inlineStr">
        <is>
          <t>991004698129702656</t>
        </is>
      </c>
      <c r="BA660" t="inlineStr">
        <is>
          <t>2255996420002656</t>
        </is>
      </c>
      <c r="BB660" t="inlineStr">
        <is>
          <t>BOOK</t>
        </is>
      </c>
      <c r="BD660" t="inlineStr">
        <is>
          <t>9788401805806</t>
        </is>
      </c>
      <c r="BE660" t="inlineStr">
        <is>
          <t>32285000632819</t>
        </is>
      </c>
      <c r="BF660" t="inlineStr">
        <is>
          <t>893229719</t>
        </is>
      </c>
    </row>
    <row r="661">
      <c r="A661" t="inlineStr">
        <is>
          <t>No</t>
        </is>
      </c>
      <c r="B661" t="inlineStr">
        <is>
          <t>CURAL</t>
        </is>
      </c>
      <c r="C661" t="inlineStr">
        <is>
          <t>SHELVES</t>
        </is>
      </c>
      <c r="D661" t="inlineStr">
        <is>
          <t>PQ6603.L2 M3 1998</t>
        </is>
      </c>
      <c r="E661" t="inlineStr">
        <is>
          <t>0                      PQ 6603000L  2                  M  3           1998</t>
        </is>
      </c>
      <c r="F661" t="inlineStr">
        <is>
          <t>Mare nostrum / Vicente Blasco Ibáñez ; edición de María José Navarro.</t>
        </is>
      </c>
      <c r="H661" t="inlineStr">
        <is>
          <t>No</t>
        </is>
      </c>
      <c r="I661" t="inlineStr">
        <is>
          <t>1</t>
        </is>
      </c>
      <c r="J661" t="inlineStr">
        <is>
          <t>No</t>
        </is>
      </c>
      <c r="K661" t="inlineStr">
        <is>
          <t>No</t>
        </is>
      </c>
      <c r="L661" t="inlineStr">
        <is>
          <t>0</t>
        </is>
      </c>
      <c r="M661" t="inlineStr">
        <is>
          <t>Blasco Ibáñez, Vicente, 1867-1928.</t>
        </is>
      </c>
      <c r="N661" t="inlineStr">
        <is>
          <t>Madrid : Cátedra, c1998.</t>
        </is>
      </c>
      <c r="O661" t="inlineStr">
        <is>
          <t>1998</t>
        </is>
      </c>
      <c r="Q661" t="inlineStr">
        <is>
          <t>spa</t>
        </is>
      </c>
      <c r="R661" t="inlineStr">
        <is>
          <t xml:space="preserve">sp </t>
        </is>
      </c>
      <c r="S661" t="inlineStr">
        <is>
          <t>Letras hispánicas ; 470</t>
        </is>
      </c>
      <c r="T661" t="inlineStr">
        <is>
          <t xml:space="preserve">PQ </t>
        </is>
      </c>
      <c r="U661" t="n">
        <v>1</v>
      </c>
      <c r="V661" t="n">
        <v>1</v>
      </c>
      <c r="W661" t="inlineStr">
        <is>
          <t>2000-09-20</t>
        </is>
      </c>
      <c r="X661" t="inlineStr">
        <is>
          <t>2000-09-20</t>
        </is>
      </c>
      <c r="Y661" t="inlineStr">
        <is>
          <t>2000-09-20</t>
        </is>
      </c>
      <c r="Z661" t="inlineStr">
        <is>
          <t>2000-09-20</t>
        </is>
      </c>
      <c r="AA661" t="n">
        <v>89</v>
      </c>
      <c r="AB661" t="n">
        <v>63</v>
      </c>
      <c r="AC661" t="n">
        <v>344</v>
      </c>
      <c r="AD661" t="n">
        <v>1</v>
      </c>
      <c r="AE661" t="n">
        <v>4</v>
      </c>
      <c r="AF661" t="n">
        <v>1</v>
      </c>
      <c r="AG661" t="n">
        <v>14</v>
      </c>
      <c r="AH661" t="n">
        <v>1</v>
      </c>
      <c r="AI661" t="n">
        <v>5</v>
      </c>
      <c r="AJ661" t="n">
        <v>1</v>
      </c>
      <c r="AK661" t="n">
        <v>4</v>
      </c>
      <c r="AL661" t="n">
        <v>0</v>
      </c>
      <c r="AM661" t="n">
        <v>6</v>
      </c>
      <c r="AN661" t="n">
        <v>0</v>
      </c>
      <c r="AO661" t="n">
        <v>3</v>
      </c>
      <c r="AP661" t="n">
        <v>0</v>
      </c>
      <c r="AQ661" t="n">
        <v>0</v>
      </c>
      <c r="AR661" t="inlineStr">
        <is>
          <t>No</t>
        </is>
      </c>
      <c r="AS661" t="inlineStr">
        <is>
          <t>Yes</t>
        </is>
      </c>
      <c r="AT661">
        <f>HYPERLINK("http://catalog.hathitrust.org/Record/004011411","HathiTrust Record")</f>
        <v/>
      </c>
      <c r="AU661">
        <f>HYPERLINK("https://creighton-primo.hosted.exlibrisgroup.com/primo-explore/search?tab=default_tab&amp;search_scope=EVERYTHING&amp;vid=01CRU&amp;lang=en_US&amp;offset=0&amp;query=any,contains,991003253509702656","Catalog Record")</f>
        <v/>
      </c>
      <c r="AV661">
        <f>HYPERLINK("http://www.worldcat.org/oclc/40162785","WorldCat Record")</f>
        <v/>
      </c>
      <c r="AW661" t="inlineStr">
        <is>
          <t>1513358:spa</t>
        </is>
      </c>
      <c r="AX661" t="inlineStr">
        <is>
          <t>40162785</t>
        </is>
      </c>
      <c r="AY661" t="inlineStr">
        <is>
          <t>991003253509702656</t>
        </is>
      </c>
      <c r="AZ661" t="inlineStr">
        <is>
          <t>991003253509702656</t>
        </is>
      </c>
      <c r="BA661" t="inlineStr">
        <is>
          <t>2260792320002656</t>
        </is>
      </c>
      <c r="BB661" t="inlineStr">
        <is>
          <t>BOOK</t>
        </is>
      </c>
      <c r="BD661" t="inlineStr">
        <is>
          <t>9788437616520</t>
        </is>
      </c>
      <c r="BE661" t="inlineStr">
        <is>
          <t>32285003763702</t>
        </is>
      </c>
      <c r="BF661" t="inlineStr">
        <is>
          <t>893252197</t>
        </is>
      </c>
    </row>
    <row r="662">
      <c r="A662" t="inlineStr">
        <is>
          <t>No</t>
        </is>
      </c>
      <c r="B662" t="inlineStr">
        <is>
          <t>CURAL</t>
        </is>
      </c>
      <c r="C662" t="inlineStr">
        <is>
          <t>SHELVES</t>
        </is>
      </c>
      <c r="D662" t="inlineStr">
        <is>
          <t>PQ6603.U4 Z63</t>
        </is>
      </c>
      <c r="E662" t="inlineStr">
        <is>
          <t>0                      PQ 6603000U  4                  Z  63</t>
        </is>
      </c>
      <c r="F662" t="inlineStr">
        <is>
          <t>El teatro de Buero Vallejo. Una meditación española.</t>
        </is>
      </c>
      <c r="H662" t="inlineStr">
        <is>
          <t>No</t>
        </is>
      </c>
      <c r="I662" t="inlineStr">
        <is>
          <t>1</t>
        </is>
      </c>
      <c r="J662" t="inlineStr">
        <is>
          <t>No</t>
        </is>
      </c>
      <c r="K662" t="inlineStr">
        <is>
          <t>No</t>
        </is>
      </c>
      <c r="L662" t="inlineStr">
        <is>
          <t>0</t>
        </is>
      </c>
      <c r="M662" t="inlineStr">
        <is>
          <t>Doménech, Ricardo.</t>
        </is>
      </c>
      <c r="N662" t="inlineStr">
        <is>
          <t>Madrid, Gredos [1973]</t>
        </is>
      </c>
      <c r="O662" t="inlineStr">
        <is>
          <t>1973</t>
        </is>
      </c>
      <c r="Q662" t="inlineStr">
        <is>
          <t>spa</t>
        </is>
      </c>
      <c r="R662" t="inlineStr">
        <is>
          <t xml:space="preserve">sp </t>
        </is>
      </c>
      <c r="S662" t="inlineStr">
        <is>
          <t>Biblioteca románica hispánica. 2. Estudios y ensayos, 198</t>
        </is>
      </c>
      <c r="T662" t="inlineStr">
        <is>
          <t xml:space="preserve">PQ </t>
        </is>
      </c>
      <c r="U662" t="n">
        <v>2</v>
      </c>
      <c r="V662" t="n">
        <v>2</v>
      </c>
      <c r="W662" t="inlineStr">
        <is>
          <t>2001-12-19</t>
        </is>
      </c>
      <c r="X662" t="inlineStr">
        <is>
          <t>2001-12-19</t>
        </is>
      </c>
      <c r="Y662" t="inlineStr">
        <is>
          <t>1997-07-24</t>
        </is>
      </c>
      <c r="Z662" t="inlineStr">
        <is>
          <t>1997-07-24</t>
        </is>
      </c>
      <c r="AA662" t="n">
        <v>277</v>
      </c>
      <c r="AB662" t="n">
        <v>255</v>
      </c>
      <c r="AC662" t="n">
        <v>397</v>
      </c>
      <c r="AD662" t="n">
        <v>1</v>
      </c>
      <c r="AE662" t="n">
        <v>5</v>
      </c>
      <c r="AF662" t="n">
        <v>16</v>
      </c>
      <c r="AG662" t="n">
        <v>25</v>
      </c>
      <c r="AH662" t="n">
        <v>4</v>
      </c>
      <c r="AI662" t="n">
        <v>7</v>
      </c>
      <c r="AJ662" t="n">
        <v>6</v>
      </c>
      <c r="AK662" t="n">
        <v>8</v>
      </c>
      <c r="AL662" t="n">
        <v>11</v>
      </c>
      <c r="AM662" t="n">
        <v>14</v>
      </c>
      <c r="AN662" t="n">
        <v>0</v>
      </c>
      <c r="AO662" t="n">
        <v>4</v>
      </c>
      <c r="AP662" t="n">
        <v>0</v>
      </c>
      <c r="AQ662" t="n">
        <v>0</v>
      </c>
      <c r="AR662" t="inlineStr">
        <is>
          <t>No</t>
        </is>
      </c>
      <c r="AS662" t="inlineStr">
        <is>
          <t>No</t>
        </is>
      </c>
      <c r="AU662">
        <f>HYPERLINK("https://creighton-primo.hosted.exlibrisgroup.com/primo-explore/search?tab=default_tab&amp;search_scope=EVERYTHING&amp;vid=01CRU&amp;lang=en_US&amp;offset=0&amp;query=any,contains,991003417849702656","Catalog Record")</f>
        <v/>
      </c>
      <c r="AV662">
        <f>HYPERLINK("http://www.worldcat.org/oclc/959362","WorldCat Record")</f>
        <v/>
      </c>
      <c r="AW662" t="inlineStr">
        <is>
          <t>365314073:spa</t>
        </is>
      </c>
      <c r="AX662" t="inlineStr">
        <is>
          <t>959362</t>
        </is>
      </c>
      <c r="AY662" t="inlineStr">
        <is>
          <t>991003417849702656</t>
        </is>
      </c>
      <c r="AZ662" t="inlineStr">
        <is>
          <t>991003417849702656</t>
        </is>
      </c>
      <c r="BA662" t="inlineStr">
        <is>
          <t>2268769150002656</t>
        </is>
      </c>
      <c r="BB662" t="inlineStr">
        <is>
          <t>BOOK</t>
        </is>
      </c>
      <c r="BD662" t="inlineStr">
        <is>
          <t>9788424905262</t>
        </is>
      </c>
      <c r="BE662" t="inlineStr">
        <is>
          <t>32285002942240</t>
        </is>
      </c>
      <c r="BF662" t="inlineStr">
        <is>
          <t>893686530</t>
        </is>
      </c>
    </row>
    <row r="663">
      <c r="A663" t="inlineStr">
        <is>
          <t>No</t>
        </is>
      </c>
      <c r="B663" t="inlineStr">
        <is>
          <t>CURAL</t>
        </is>
      </c>
      <c r="C663" t="inlineStr">
        <is>
          <t>SHELVES</t>
        </is>
      </c>
      <c r="D663" t="inlineStr">
        <is>
          <t>PQ6603.U4 Z7</t>
        </is>
      </c>
      <c r="E663" t="inlineStr">
        <is>
          <t>0                      PQ 6603000U  4                  Z  7</t>
        </is>
      </c>
      <c r="F663" t="inlineStr">
        <is>
          <t>Antonio Buero Vallejo / by Martha T. Halsey.</t>
        </is>
      </c>
      <c r="H663" t="inlineStr">
        <is>
          <t>No</t>
        </is>
      </c>
      <c r="I663" t="inlineStr">
        <is>
          <t>1</t>
        </is>
      </c>
      <c r="J663" t="inlineStr">
        <is>
          <t>No</t>
        </is>
      </c>
      <c r="K663" t="inlineStr">
        <is>
          <t>No</t>
        </is>
      </c>
      <c r="L663" t="inlineStr">
        <is>
          <t>0</t>
        </is>
      </c>
      <c r="M663" t="inlineStr">
        <is>
          <t>Halsey, Martha T.</t>
        </is>
      </c>
      <c r="N663" t="inlineStr">
        <is>
          <t>New York : Twayne, [1973]</t>
        </is>
      </c>
      <c r="O663" t="inlineStr">
        <is>
          <t>1973</t>
        </is>
      </c>
      <c r="Q663" t="inlineStr">
        <is>
          <t>eng</t>
        </is>
      </c>
      <c r="R663" t="inlineStr">
        <is>
          <t>nyu</t>
        </is>
      </c>
      <c r="S663" t="inlineStr">
        <is>
          <t>Twayne's world authors series, TWAS 260. Spain</t>
        </is>
      </c>
      <c r="T663" t="inlineStr">
        <is>
          <t xml:space="preserve">PQ </t>
        </is>
      </c>
      <c r="U663" t="n">
        <v>1</v>
      </c>
      <c r="V663" t="n">
        <v>1</v>
      </c>
      <c r="W663" t="inlineStr">
        <is>
          <t>2001-12-19</t>
        </is>
      </c>
      <c r="X663" t="inlineStr">
        <is>
          <t>2001-12-19</t>
        </is>
      </c>
      <c r="Y663" t="inlineStr">
        <is>
          <t>1990-04-18</t>
        </is>
      </c>
      <c r="Z663" t="inlineStr">
        <is>
          <t>1990-04-18</t>
        </is>
      </c>
      <c r="AA663" t="n">
        <v>692</v>
      </c>
      <c r="AB663" t="n">
        <v>611</v>
      </c>
      <c r="AC663" t="n">
        <v>618</v>
      </c>
      <c r="AD663" t="n">
        <v>4</v>
      </c>
      <c r="AE663" t="n">
        <v>4</v>
      </c>
      <c r="AF663" t="n">
        <v>30</v>
      </c>
      <c r="AG663" t="n">
        <v>30</v>
      </c>
      <c r="AH663" t="n">
        <v>11</v>
      </c>
      <c r="AI663" t="n">
        <v>11</v>
      </c>
      <c r="AJ663" t="n">
        <v>7</v>
      </c>
      <c r="AK663" t="n">
        <v>7</v>
      </c>
      <c r="AL663" t="n">
        <v>17</v>
      </c>
      <c r="AM663" t="n">
        <v>17</v>
      </c>
      <c r="AN663" t="n">
        <v>3</v>
      </c>
      <c r="AO663" t="n">
        <v>3</v>
      </c>
      <c r="AP663" t="n">
        <v>0</v>
      </c>
      <c r="AQ663" t="n">
        <v>0</v>
      </c>
      <c r="AR663" t="inlineStr">
        <is>
          <t>No</t>
        </is>
      </c>
      <c r="AS663" t="inlineStr">
        <is>
          <t>Yes</t>
        </is>
      </c>
      <c r="AT663">
        <f>HYPERLINK("http://catalog.hathitrust.org/Record/001050215","HathiTrust Record")</f>
        <v/>
      </c>
      <c r="AU663">
        <f>HYPERLINK("https://creighton-primo.hosted.exlibrisgroup.com/primo-explore/search?tab=default_tab&amp;search_scope=EVERYTHING&amp;vid=01CRU&amp;lang=en_US&amp;offset=0&amp;query=any,contains,991003148799702656","Catalog Record")</f>
        <v/>
      </c>
      <c r="AV663">
        <f>HYPERLINK("http://www.worldcat.org/oclc/688651","WorldCat Record")</f>
        <v/>
      </c>
      <c r="AW663" t="inlineStr">
        <is>
          <t>1777107:eng</t>
        </is>
      </c>
      <c r="AX663" t="inlineStr">
        <is>
          <t>688651</t>
        </is>
      </c>
      <c r="AY663" t="inlineStr">
        <is>
          <t>991003148799702656</t>
        </is>
      </c>
      <c r="AZ663" t="inlineStr">
        <is>
          <t>991003148799702656</t>
        </is>
      </c>
      <c r="BA663" t="inlineStr">
        <is>
          <t>2272104830002656</t>
        </is>
      </c>
      <c r="BB663" t="inlineStr">
        <is>
          <t>BOOK</t>
        </is>
      </c>
      <c r="BE663" t="inlineStr">
        <is>
          <t>32285000116714</t>
        </is>
      </c>
      <c r="BF663" t="inlineStr">
        <is>
          <t>893610769</t>
        </is>
      </c>
    </row>
    <row r="664">
      <c r="A664" t="inlineStr">
        <is>
          <t>No</t>
        </is>
      </c>
      <c r="B664" t="inlineStr">
        <is>
          <t>CURAL</t>
        </is>
      </c>
      <c r="C664" t="inlineStr">
        <is>
          <t>SHELVES</t>
        </is>
      </c>
      <c r="D664" t="inlineStr">
        <is>
          <t>PQ6605.A17 L3 1984</t>
        </is>
      </c>
      <c r="E664" t="inlineStr">
        <is>
          <t>0                      PQ 6605000A  17                 L  3           1984</t>
        </is>
      </c>
      <c r="F664" t="inlineStr">
        <is>
          <t>El laberinto de fortuna / José Manuel Caballero Bonald.</t>
        </is>
      </c>
      <c r="H664" t="inlineStr">
        <is>
          <t>No</t>
        </is>
      </c>
      <c r="I664" t="inlineStr">
        <is>
          <t>1</t>
        </is>
      </c>
      <c r="J664" t="inlineStr">
        <is>
          <t>No</t>
        </is>
      </c>
      <c r="K664" t="inlineStr">
        <is>
          <t>No</t>
        </is>
      </c>
      <c r="L664" t="inlineStr">
        <is>
          <t>0</t>
        </is>
      </c>
      <c r="M664" t="inlineStr">
        <is>
          <t>Caballero Bonald, José Manuel, 1926-</t>
        </is>
      </c>
      <c r="N664" t="inlineStr">
        <is>
          <t>Barcelona : Laia, 1984.</t>
        </is>
      </c>
      <c r="O664" t="inlineStr">
        <is>
          <t>1984</t>
        </is>
      </c>
      <c r="P664" t="inlineStr">
        <is>
          <t>1a ed.</t>
        </is>
      </c>
      <c r="Q664" t="inlineStr">
        <is>
          <t>spa</t>
        </is>
      </c>
      <c r="R664" t="inlineStr">
        <is>
          <t xml:space="preserve">sp </t>
        </is>
      </c>
      <c r="S664" t="inlineStr">
        <is>
          <t>Colección Laia literatura</t>
        </is>
      </c>
      <c r="T664" t="inlineStr">
        <is>
          <t xml:space="preserve">PQ </t>
        </is>
      </c>
      <c r="U664" t="n">
        <v>3</v>
      </c>
      <c r="V664" t="n">
        <v>3</v>
      </c>
      <c r="W664" t="inlineStr">
        <is>
          <t>2000-04-25</t>
        </is>
      </c>
      <c r="X664" t="inlineStr">
        <is>
          <t>2000-04-25</t>
        </is>
      </c>
      <c r="Y664" t="inlineStr">
        <is>
          <t>1991-04-24</t>
        </is>
      </c>
      <c r="Z664" t="inlineStr">
        <is>
          <t>1991-04-24</t>
        </is>
      </c>
      <c r="AA664" t="n">
        <v>99</v>
      </c>
      <c r="AB664" t="n">
        <v>72</v>
      </c>
      <c r="AC664" t="n">
        <v>79</v>
      </c>
      <c r="AD664" t="n">
        <v>1</v>
      </c>
      <c r="AE664" t="n">
        <v>1</v>
      </c>
      <c r="AF664" t="n">
        <v>1</v>
      </c>
      <c r="AG664" t="n">
        <v>1</v>
      </c>
      <c r="AH664" t="n">
        <v>0</v>
      </c>
      <c r="AI664" t="n">
        <v>0</v>
      </c>
      <c r="AJ664" t="n">
        <v>1</v>
      </c>
      <c r="AK664" t="n">
        <v>1</v>
      </c>
      <c r="AL664" t="n">
        <v>0</v>
      </c>
      <c r="AM664" t="n">
        <v>0</v>
      </c>
      <c r="AN664" t="n">
        <v>0</v>
      </c>
      <c r="AO664" t="n">
        <v>0</v>
      </c>
      <c r="AP664" t="n">
        <v>0</v>
      </c>
      <c r="AQ664" t="n">
        <v>0</v>
      </c>
      <c r="AR664" t="inlineStr">
        <is>
          <t>No</t>
        </is>
      </c>
      <c r="AS664" t="inlineStr">
        <is>
          <t>Yes</t>
        </is>
      </c>
      <c r="AT664">
        <f>HYPERLINK("http://catalog.hathitrust.org/Record/000567543","HathiTrust Record")</f>
        <v/>
      </c>
      <c r="AU664">
        <f>HYPERLINK("https://creighton-primo.hosted.exlibrisgroup.com/primo-explore/search?tab=default_tab&amp;search_scope=EVERYTHING&amp;vid=01CRU&amp;lang=en_US&amp;offset=0&amp;query=any,contains,991000587519702656","Catalog Record")</f>
        <v/>
      </c>
      <c r="AV664">
        <f>HYPERLINK("http://www.worldcat.org/oclc/11774124","WorldCat Record")</f>
        <v/>
      </c>
      <c r="AW664" t="inlineStr">
        <is>
          <t>356750818:spa</t>
        </is>
      </c>
      <c r="AX664" t="inlineStr">
        <is>
          <t>11774124</t>
        </is>
      </c>
      <c r="AY664" t="inlineStr">
        <is>
          <t>991000587519702656</t>
        </is>
      </c>
      <c r="AZ664" t="inlineStr">
        <is>
          <t>991000587519702656</t>
        </is>
      </c>
      <c r="BA664" t="inlineStr">
        <is>
          <t>2271448070002656</t>
        </is>
      </c>
      <c r="BB664" t="inlineStr">
        <is>
          <t>BOOK</t>
        </is>
      </c>
      <c r="BD664" t="inlineStr">
        <is>
          <t>9788472224117</t>
        </is>
      </c>
      <c r="BE664" t="inlineStr">
        <is>
          <t>32285000568823</t>
        </is>
      </c>
      <c r="BF664" t="inlineStr">
        <is>
          <t>893231236</t>
        </is>
      </c>
    </row>
    <row r="665">
      <c r="A665" t="inlineStr">
        <is>
          <t>No</t>
        </is>
      </c>
      <c r="B665" t="inlineStr">
        <is>
          <t>CURAL</t>
        </is>
      </c>
      <c r="C665" t="inlineStr">
        <is>
          <t>SHELVES</t>
        </is>
      </c>
      <c r="D665" t="inlineStr">
        <is>
          <t>PQ6605.C254 A17 1988</t>
        </is>
      </c>
      <c r="E665" t="inlineStr">
        <is>
          <t>0                      PQ 6605000C  254                A  17          1988</t>
        </is>
      </c>
      <c r="F665" t="inlineStr">
        <is>
          <t>Poesía / Félix Casanova de Ayala.</t>
        </is>
      </c>
      <c r="H665" t="inlineStr">
        <is>
          <t>No</t>
        </is>
      </c>
      <c r="I665" t="inlineStr">
        <is>
          <t>1</t>
        </is>
      </c>
      <c r="J665" t="inlineStr">
        <is>
          <t>No</t>
        </is>
      </c>
      <c r="K665" t="inlineStr">
        <is>
          <t>No</t>
        </is>
      </c>
      <c r="L665" t="inlineStr">
        <is>
          <t>0</t>
        </is>
      </c>
      <c r="M665" t="inlineStr">
        <is>
          <t>Casanova de Ayala, Félix.</t>
        </is>
      </c>
      <c r="N665" t="inlineStr">
        <is>
          <t>Islas Canarias : Viceconsejería de Cultura y Deportes del Gobierno de Canarias, 1988.</t>
        </is>
      </c>
      <c r="O665" t="inlineStr">
        <is>
          <t>1988</t>
        </is>
      </c>
      <c r="Q665" t="inlineStr">
        <is>
          <t>spa</t>
        </is>
      </c>
      <c r="R665" t="inlineStr">
        <is>
          <t xml:space="preserve">sp </t>
        </is>
      </c>
      <c r="S665" t="inlineStr">
        <is>
          <t>Biblioteca básica canaria ; 36</t>
        </is>
      </c>
      <c r="T665" t="inlineStr">
        <is>
          <t xml:space="preserve">PQ </t>
        </is>
      </c>
      <c r="U665" t="n">
        <v>1</v>
      </c>
      <c r="V665" t="n">
        <v>1</v>
      </c>
      <c r="W665" t="inlineStr">
        <is>
          <t>2002-02-25</t>
        </is>
      </c>
      <c r="X665" t="inlineStr">
        <is>
          <t>2002-02-25</t>
        </is>
      </c>
      <c r="Y665" t="inlineStr">
        <is>
          <t>2002-02-25</t>
        </is>
      </c>
      <c r="Z665" t="inlineStr">
        <is>
          <t>2002-02-25</t>
        </is>
      </c>
      <c r="AA665" t="n">
        <v>4</v>
      </c>
      <c r="AB665" t="n">
        <v>3</v>
      </c>
      <c r="AC665" t="n">
        <v>4</v>
      </c>
      <c r="AD665" t="n">
        <v>1</v>
      </c>
      <c r="AE665" t="n">
        <v>1</v>
      </c>
      <c r="AF665" t="n">
        <v>0</v>
      </c>
      <c r="AG665" t="n">
        <v>0</v>
      </c>
      <c r="AH665" t="n">
        <v>0</v>
      </c>
      <c r="AI665" t="n">
        <v>0</v>
      </c>
      <c r="AJ665" t="n">
        <v>0</v>
      </c>
      <c r="AK665" t="n">
        <v>0</v>
      </c>
      <c r="AL665" t="n">
        <v>0</v>
      </c>
      <c r="AM665" t="n">
        <v>0</v>
      </c>
      <c r="AN665" t="n">
        <v>0</v>
      </c>
      <c r="AO665" t="n">
        <v>0</v>
      </c>
      <c r="AP665" t="n">
        <v>0</v>
      </c>
      <c r="AQ665" t="n">
        <v>0</v>
      </c>
      <c r="AR665" t="inlineStr">
        <is>
          <t>No</t>
        </is>
      </c>
      <c r="AS665" t="inlineStr">
        <is>
          <t>Yes</t>
        </is>
      </c>
      <c r="AT665">
        <f>HYPERLINK("http://catalog.hathitrust.org/Record/102595101","HathiTrust Record")</f>
        <v/>
      </c>
      <c r="AU665">
        <f>HYPERLINK("https://creighton-primo.hosted.exlibrisgroup.com/primo-explore/search?tab=default_tab&amp;search_scope=EVERYTHING&amp;vid=01CRU&amp;lang=en_US&amp;offset=0&amp;query=any,contains,991003749979702656","Catalog Record")</f>
        <v/>
      </c>
      <c r="AV665">
        <f>HYPERLINK("http://www.worldcat.org/oclc/31159423","WorldCat Record")</f>
        <v/>
      </c>
      <c r="AW665" t="inlineStr">
        <is>
          <t>32765509:spa</t>
        </is>
      </c>
      <c r="AX665" t="inlineStr">
        <is>
          <t>31159423</t>
        </is>
      </c>
      <c r="AY665" t="inlineStr">
        <is>
          <t>991003749979702656</t>
        </is>
      </c>
      <c r="AZ665" t="inlineStr">
        <is>
          <t>991003749979702656</t>
        </is>
      </c>
      <c r="BA665" t="inlineStr">
        <is>
          <t>2270031840002656</t>
        </is>
      </c>
      <c r="BB665" t="inlineStr">
        <is>
          <t>BOOK</t>
        </is>
      </c>
      <c r="BD665" t="inlineStr">
        <is>
          <t>9788450576948</t>
        </is>
      </c>
      <c r="BE665" t="inlineStr">
        <is>
          <t>32285004457353</t>
        </is>
      </c>
      <c r="BF665" t="inlineStr">
        <is>
          <t>893240557</t>
        </is>
      </c>
    </row>
    <row r="666">
      <c r="A666" t="inlineStr">
        <is>
          <t>No</t>
        </is>
      </c>
      <c r="B666" t="inlineStr">
        <is>
          <t>CURAL</t>
        </is>
      </c>
      <c r="C666" t="inlineStr">
        <is>
          <t>SHELVES</t>
        </is>
      </c>
      <c r="D666" t="inlineStr">
        <is>
          <t>PQ6605.E44 Z48 1984</t>
        </is>
      </c>
      <c r="E666" t="inlineStr">
        <is>
          <t>0                      PQ 6605000E  44                 Z  48          1984</t>
        </is>
      </c>
      <c r="F666" t="inlineStr">
        <is>
          <t>La Insólita y gloriosa hazaña del cipote de Archidona.</t>
        </is>
      </c>
      <c r="H666" t="inlineStr">
        <is>
          <t>No</t>
        </is>
      </c>
      <c r="I666" t="inlineStr">
        <is>
          <t>1</t>
        </is>
      </c>
      <c r="J666" t="inlineStr">
        <is>
          <t>No</t>
        </is>
      </c>
      <c r="K666" t="inlineStr">
        <is>
          <t>No</t>
        </is>
      </c>
      <c r="L666" t="inlineStr">
        <is>
          <t>0</t>
        </is>
      </c>
      <c r="N666" t="inlineStr">
        <is>
          <t>Barcelona : Tusquets Editores, 1984.</t>
        </is>
      </c>
      <c r="O666" t="inlineStr">
        <is>
          <t>1984</t>
        </is>
      </c>
      <c r="P666" t="inlineStr">
        <is>
          <t>4a. ed.</t>
        </is>
      </c>
      <c r="Q666" t="inlineStr">
        <is>
          <t>spa</t>
        </is>
      </c>
      <c r="R666" t="inlineStr">
        <is>
          <t xml:space="preserve">sp </t>
        </is>
      </c>
      <c r="S666" t="inlineStr">
        <is>
          <t>La Sonrisa vertical ; 1</t>
        </is>
      </c>
      <c r="T666" t="inlineStr">
        <is>
          <t xml:space="preserve">PQ </t>
        </is>
      </c>
      <c r="U666" t="n">
        <v>2</v>
      </c>
      <c r="V666" t="n">
        <v>2</v>
      </c>
      <c r="W666" t="inlineStr">
        <is>
          <t>1994-03-11</t>
        </is>
      </c>
      <c r="X666" t="inlineStr">
        <is>
          <t>1994-03-11</t>
        </is>
      </c>
      <c r="Y666" t="inlineStr">
        <is>
          <t>1991-07-03</t>
        </is>
      </c>
      <c r="Z666" t="inlineStr">
        <is>
          <t>1991-07-03</t>
        </is>
      </c>
      <c r="AA666" t="n">
        <v>7</v>
      </c>
      <c r="AB666" t="n">
        <v>6</v>
      </c>
      <c r="AC666" t="n">
        <v>47</v>
      </c>
      <c r="AD666" t="n">
        <v>1</v>
      </c>
      <c r="AE666" t="n">
        <v>1</v>
      </c>
      <c r="AF666" t="n">
        <v>0</v>
      </c>
      <c r="AG666" t="n">
        <v>0</v>
      </c>
      <c r="AH666" t="n">
        <v>0</v>
      </c>
      <c r="AI666" t="n">
        <v>0</v>
      </c>
      <c r="AJ666" t="n">
        <v>0</v>
      </c>
      <c r="AK666" t="n">
        <v>0</v>
      </c>
      <c r="AL666" t="n">
        <v>0</v>
      </c>
      <c r="AM666" t="n">
        <v>0</v>
      </c>
      <c r="AN666" t="n">
        <v>0</v>
      </c>
      <c r="AO666" t="n">
        <v>0</v>
      </c>
      <c r="AP666" t="n">
        <v>0</v>
      </c>
      <c r="AQ666" t="n">
        <v>0</v>
      </c>
      <c r="AR666" t="inlineStr">
        <is>
          <t>No</t>
        </is>
      </c>
      <c r="AS666" t="inlineStr">
        <is>
          <t>No</t>
        </is>
      </c>
      <c r="AU666">
        <f>HYPERLINK("https://creighton-primo.hosted.exlibrisgroup.com/primo-explore/search?tab=default_tab&amp;search_scope=EVERYTHING&amp;vid=01CRU&amp;lang=en_US&amp;offset=0&amp;query=any,contains,991000846889702656","Catalog Record")</f>
        <v/>
      </c>
      <c r="AV666">
        <f>HYPERLINK("http://www.worldcat.org/oclc/13563453","WorldCat Record")</f>
        <v/>
      </c>
      <c r="AW666" t="inlineStr">
        <is>
          <t>355905771:spa</t>
        </is>
      </c>
      <c r="AX666" t="inlineStr">
        <is>
          <t>13563453</t>
        </is>
      </c>
      <c r="AY666" t="inlineStr">
        <is>
          <t>991000846889702656</t>
        </is>
      </c>
      <c r="AZ666" t="inlineStr">
        <is>
          <t>991000846889702656</t>
        </is>
      </c>
      <c r="BA666" t="inlineStr">
        <is>
          <t>2254762830002656</t>
        </is>
      </c>
      <c r="BB666" t="inlineStr">
        <is>
          <t>BOOK</t>
        </is>
      </c>
      <c r="BD666" t="inlineStr">
        <is>
          <t>9788472233010</t>
        </is>
      </c>
      <c r="BE666" t="inlineStr">
        <is>
          <t>32285000636109</t>
        </is>
      </c>
      <c r="BF666" t="inlineStr">
        <is>
          <t>893702492</t>
        </is>
      </c>
    </row>
    <row r="667">
      <c r="A667" t="inlineStr">
        <is>
          <t>No</t>
        </is>
      </c>
      <c r="B667" t="inlineStr">
        <is>
          <t>CURAL</t>
        </is>
      </c>
      <c r="C667" t="inlineStr">
        <is>
          <t>SHELVES</t>
        </is>
      </c>
      <c r="D667" t="inlineStr">
        <is>
          <t>PQ6605.E44 Z6848 2003</t>
        </is>
      </c>
      <c r="E667" t="inlineStr">
        <is>
          <t>0                      PQ 6605000E  44                 Z  6848        2003</t>
        </is>
      </c>
      <c r="F667" t="inlineStr">
        <is>
          <t>Cela, el hombre que quiso ganar / Ian Gibson.</t>
        </is>
      </c>
      <c r="H667" t="inlineStr">
        <is>
          <t>No</t>
        </is>
      </c>
      <c r="I667" t="inlineStr">
        <is>
          <t>1</t>
        </is>
      </c>
      <c r="J667" t="inlineStr">
        <is>
          <t>No</t>
        </is>
      </c>
      <c r="K667" t="inlineStr">
        <is>
          <t>No</t>
        </is>
      </c>
      <c r="L667" t="inlineStr">
        <is>
          <t>0</t>
        </is>
      </c>
      <c r="M667" t="inlineStr">
        <is>
          <t>Gibson, Ian, 1939-</t>
        </is>
      </c>
      <c r="N667" t="inlineStr">
        <is>
          <t>Madrid : Aguilar, c2003.</t>
        </is>
      </c>
      <c r="O667" t="inlineStr">
        <is>
          <t>2003</t>
        </is>
      </c>
      <c r="P667" t="inlineStr">
        <is>
          <t>1. ed.</t>
        </is>
      </c>
      <c r="Q667" t="inlineStr">
        <is>
          <t>spa</t>
        </is>
      </c>
      <c r="R667" t="inlineStr">
        <is>
          <t xml:space="preserve">sp </t>
        </is>
      </c>
      <c r="T667" t="inlineStr">
        <is>
          <t xml:space="preserve">PQ </t>
        </is>
      </c>
      <c r="U667" t="n">
        <v>1</v>
      </c>
      <c r="V667" t="n">
        <v>1</v>
      </c>
      <c r="W667" t="inlineStr">
        <is>
          <t>2004-10-07</t>
        </is>
      </c>
      <c r="X667" t="inlineStr">
        <is>
          <t>2004-10-07</t>
        </is>
      </c>
      <c r="Y667" t="inlineStr">
        <is>
          <t>2004-10-07</t>
        </is>
      </c>
      <c r="Z667" t="inlineStr">
        <is>
          <t>2004-10-07</t>
        </is>
      </c>
      <c r="AA667" t="n">
        <v>137</v>
      </c>
      <c r="AB667" t="n">
        <v>100</v>
      </c>
      <c r="AC667" t="n">
        <v>107</v>
      </c>
      <c r="AD667" t="n">
        <v>1</v>
      </c>
      <c r="AE667" t="n">
        <v>1</v>
      </c>
      <c r="AF667" t="n">
        <v>3</v>
      </c>
      <c r="AG667" t="n">
        <v>3</v>
      </c>
      <c r="AH667" t="n">
        <v>1</v>
      </c>
      <c r="AI667" t="n">
        <v>1</v>
      </c>
      <c r="AJ667" t="n">
        <v>2</v>
      </c>
      <c r="AK667" t="n">
        <v>2</v>
      </c>
      <c r="AL667" t="n">
        <v>1</v>
      </c>
      <c r="AM667" t="n">
        <v>1</v>
      </c>
      <c r="AN667" t="n">
        <v>0</v>
      </c>
      <c r="AO667" t="n">
        <v>0</v>
      </c>
      <c r="AP667" t="n">
        <v>0</v>
      </c>
      <c r="AQ667" t="n">
        <v>0</v>
      </c>
      <c r="AR667" t="inlineStr">
        <is>
          <t>No</t>
        </is>
      </c>
      <c r="AS667" t="inlineStr">
        <is>
          <t>Yes</t>
        </is>
      </c>
      <c r="AT667">
        <f>HYPERLINK("http://catalog.hathitrust.org/Record/003876844","HathiTrust Record")</f>
        <v/>
      </c>
      <c r="AU667">
        <f>HYPERLINK("https://creighton-primo.hosted.exlibrisgroup.com/primo-explore/search?tab=default_tab&amp;search_scope=EVERYTHING&amp;vid=01CRU&amp;lang=en_US&amp;offset=0&amp;query=any,contains,991004378999702656","Catalog Record")</f>
        <v/>
      </c>
      <c r="AV667">
        <f>HYPERLINK("http://www.worldcat.org/oclc/52819844","WorldCat Record")</f>
        <v/>
      </c>
      <c r="AW667" t="inlineStr">
        <is>
          <t>835059:spa</t>
        </is>
      </c>
      <c r="AX667" t="inlineStr">
        <is>
          <t>52819844</t>
        </is>
      </c>
      <c r="AY667" t="inlineStr">
        <is>
          <t>991004378999702656</t>
        </is>
      </c>
      <c r="AZ667" t="inlineStr">
        <is>
          <t>991004378999702656</t>
        </is>
      </c>
      <c r="BA667" t="inlineStr">
        <is>
          <t>2268033640002656</t>
        </is>
      </c>
      <c r="BB667" t="inlineStr">
        <is>
          <t>BOOK</t>
        </is>
      </c>
      <c r="BD667" t="inlineStr">
        <is>
          <t>9788403093560</t>
        </is>
      </c>
      <c r="BE667" t="inlineStr">
        <is>
          <t>32285005002331</t>
        </is>
      </c>
      <c r="BF667" t="inlineStr">
        <is>
          <t>893331527</t>
        </is>
      </c>
    </row>
    <row r="668">
      <c r="A668" t="inlineStr">
        <is>
          <t>No</t>
        </is>
      </c>
      <c r="B668" t="inlineStr">
        <is>
          <t>CURAL</t>
        </is>
      </c>
      <c r="C668" t="inlineStr">
        <is>
          <t>SHELVES</t>
        </is>
      </c>
      <c r="D668" t="inlineStr">
        <is>
          <t>PQ6605.R45 B5 1983</t>
        </is>
      </c>
      <c r="E668" t="inlineStr">
        <is>
          <t>0                      PQ 6605000R  45                 B  5           1983</t>
        </is>
      </c>
      <c r="F668" t="inlineStr">
        <is>
          <t>El bosque transparente : poesía, 1971-1981 / Angel Crespo.</t>
        </is>
      </c>
      <c r="H668" t="inlineStr">
        <is>
          <t>No</t>
        </is>
      </c>
      <c r="I668" t="inlineStr">
        <is>
          <t>1</t>
        </is>
      </c>
      <c r="J668" t="inlineStr">
        <is>
          <t>No</t>
        </is>
      </c>
      <c r="K668" t="inlineStr">
        <is>
          <t>No</t>
        </is>
      </c>
      <c r="L668" t="inlineStr">
        <is>
          <t>0</t>
        </is>
      </c>
      <c r="M668" t="inlineStr">
        <is>
          <t>Crespo, Angel, 1926-1995.</t>
        </is>
      </c>
      <c r="N668" t="inlineStr">
        <is>
          <t>Barcelona : Seix Barral, 1983.</t>
        </is>
      </c>
      <c r="O668" t="inlineStr">
        <is>
          <t>1983</t>
        </is>
      </c>
      <c r="P668" t="inlineStr">
        <is>
          <t>1a ed.</t>
        </is>
      </c>
      <c r="Q668" t="inlineStr">
        <is>
          <t>spa</t>
        </is>
      </c>
      <c r="R668" t="inlineStr">
        <is>
          <t xml:space="preserve">sp </t>
        </is>
      </c>
      <c r="S668" t="inlineStr">
        <is>
          <t>Serie mayor</t>
        </is>
      </c>
      <c r="T668" t="inlineStr">
        <is>
          <t xml:space="preserve">PQ </t>
        </is>
      </c>
      <c r="U668" t="n">
        <v>1</v>
      </c>
      <c r="V668" t="n">
        <v>1</v>
      </c>
      <c r="W668" t="inlineStr">
        <is>
          <t>1992-08-27</t>
        </is>
      </c>
      <c r="X668" t="inlineStr">
        <is>
          <t>1992-08-27</t>
        </is>
      </c>
      <c r="Y668" t="inlineStr">
        <is>
          <t>1990-05-23</t>
        </is>
      </c>
      <c r="Z668" t="inlineStr">
        <is>
          <t>1990-05-23</t>
        </is>
      </c>
      <c r="AA668" t="n">
        <v>82</v>
      </c>
      <c r="AB668" t="n">
        <v>61</v>
      </c>
      <c r="AC668" t="n">
        <v>62</v>
      </c>
      <c r="AD668" t="n">
        <v>1</v>
      </c>
      <c r="AE668" t="n">
        <v>1</v>
      </c>
      <c r="AF668" t="n">
        <v>1</v>
      </c>
      <c r="AG668" t="n">
        <v>1</v>
      </c>
      <c r="AH668" t="n">
        <v>0</v>
      </c>
      <c r="AI668" t="n">
        <v>0</v>
      </c>
      <c r="AJ668" t="n">
        <v>1</v>
      </c>
      <c r="AK668" t="n">
        <v>1</v>
      </c>
      <c r="AL668" t="n">
        <v>0</v>
      </c>
      <c r="AM668" t="n">
        <v>0</v>
      </c>
      <c r="AN668" t="n">
        <v>0</v>
      </c>
      <c r="AO668" t="n">
        <v>0</v>
      </c>
      <c r="AP668" t="n">
        <v>0</v>
      </c>
      <c r="AQ668" t="n">
        <v>0</v>
      </c>
      <c r="AR668" t="inlineStr">
        <is>
          <t>No</t>
        </is>
      </c>
      <c r="AS668" t="inlineStr">
        <is>
          <t>No</t>
        </is>
      </c>
      <c r="AU668">
        <f>HYPERLINK("https://creighton-primo.hosted.exlibrisgroup.com/primo-explore/search?tab=default_tab&amp;search_scope=EVERYTHING&amp;vid=01CRU&amp;lang=en_US&amp;offset=0&amp;query=any,contains,991000453079702656","Catalog Record")</f>
        <v/>
      </c>
      <c r="AV668">
        <f>HYPERLINK("http://www.worldcat.org/oclc/10908851","WorldCat Record")</f>
        <v/>
      </c>
      <c r="AW668" t="inlineStr">
        <is>
          <t>428547864:spa</t>
        </is>
      </c>
      <c r="AX668" t="inlineStr">
        <is>
          <t>10908851</t>
        </is>
      </c>
      <c r="AY668" t="inlineStr">
        <is>
          <t>991000453079702656</t>
        </is>
      </c>
      <c r="AZ668" t="inlineStr">
        <is>
          <t>991000453079702656</t>
        </is>
      </c>
      <c r="BA668" t="inlineStr">
        <is>
          <t>2272081160002656</t>
        </is>
      </c>
      <c r="BB668" t="inlineStr">
        <is>
          <t>BOOK</t>
        </is>
      </c>
      <c r="BD668" t="inlineStr">
        <is>
          <t>9788432238598</t>
        </is>
      </c>
      <c r="BE668" t="inlineStr">
        <is>
          <t>32285000138221</t>
        </is>
      </c>
      <c r="BF668" t="inlineStr">
        <is>
          <t>893614184</t>
        </is>
      </c>
    </row>
    <row r="669">
      <c r="A669" t="inlineStr">
        <is>
          <t>No</t>
        </is>
      </c>
      <c r="B669" t="inlineStr">
        <is>
          <t>CURAL</t>
        </is>
      </c>
      <c r="C669" t="inlineStr">
        <is>
          <t>SHELVES</t>
        </is>
      </c>
      <c r="D669" t="inlineStr">
        <is>
          <t>PQ6605.U5 C7 1989</t>
        </is>
      </c>
      <c r="E669" t="inlineStr">
        <is>
          <t>0                      PQ 6605000U  5                  C  7           1989</t>
        </is>
      </c>
      <c r="F669" t="inlineStr">
        <is>
          <t>Las crónicas del sochantre / Álvaro Cunqueiro.</t>
        </is>
      </c>
      <c r="H669" t="inlineStr">
        <is>
          <t>No</t>
        </is>
      </c>
      <c r="I669" t="inlineStr">
        <is>
          <t>1</t>
        </is>
      </c>
      <c r="J669" t="inlineStr">
        <is>
          <t>No</t>
        </is>
      </c>
      <c r="K669" t="inlineStr">
        <is>
          <t>No</t>
        </is>
      </c>
      <c r="L669" t="inlineStr">
        <is>
          <t>0</t>
        </is>
      </c>
      <c r="M669" t="inlineStr">
        <is>
          <t>Cunqueiro, Alvaro.</t>
        </is>
      </c>
      <c r="N669" t="inlineStr">
        <is>
          <t>Barcelona] : Ediciones Destino, [1989]</t>
        </is>
      </c>
      <c r="O669" t="inlineStr">
        <is>
          <t>1989</t>
        </is>
      </c>
      <c r="P669" t="inlineStr">
        <is>
          <t>[4. ed.</t>
        </is>
      </c>
      <c r="Q669" t="inlineStr">
        <is>
          <t>spa</t>
        </is>
      </c>
      <c r="R669" t="inlineStr">
        <is>
          <t xml:space="preserve">sp </t>
        </is>
      </c>
      <c r="S669" t="inlineStr">
        <is>
          <t>Ancora y delfín, 277</t>
        </is>
      </c>
      <c r="T669" t="inlineStr">
        <is>
          <t xml:space="preserve">PQ </t>
        </is>
      </c>
      <c r="U669" t="n">
        <v>1</v>
      </c>
      <c r="V669" t="n">
        <v>1</v>
      </c>
      <c r="W669" t="inlineStr">
        <is>
          <t>1994-03-11</t>
        </is>
      </c>
      <c r="X669" t="inlineStr">
        <is>
          <t>1994-03-11</t>
        </is>
      </c>
      <c r="Y669" t="inlineStr">
        <is>
          <t>1991-04-29</t>
        </is>
      </c>
      <c r="Z669" t="inlineStr">
        <is>
          <t>1991-04-29</t>
        </is>
      </c>
      <c r="AA669" t="n">
        <v>35</v>
      </c>
      <c r="AB669" t="n">
        <v>29</v>
      </c>
      <c r="AC669" t="n">
        <v>181</v>
      </c>
      <c r="AD669" t="n">
        <v>1</v>
      </c>
      <c r="AE669" t="n">
        <v>1</v>
      </c>
      <c r="AF669" t="n">
        <v>1</v>
      </c>
      <c r="AG669" t="n">
        <v>6</v>
      </c>
      <c r="AH669" t="n">
        <v>1</v>
      </c>
      <c r="AI669" t="n">
        <v>5</v>
      </c>
      <c r="AJ669" t="n">
        <v>0</v>
      </c>
      <c r="AK669" t="n">
        <v>1</v>
      </c>
      <c r="AL669" t="n">
        <v>0</v>
      </c>
      <c r="AM669" t="n">
        <v>2</v>
      </c>
      <c r="AN669" t="n">
        <v>0</v>
      </c>
      <c r="AO669" t="n">
        <v>0</v>
      </c>
      <c r="AP669" t="n">
        <v>0</v>
      </c>
      <c r="AQ669" t="n">
        <v>0</v>
      </c>
      <c r="AR669" t="inlineStr">
        <is>
          <t>No</t>
        </is>
      </c>
      <c r="AS669" t="inlineStr">
        <is>
          <t>No</t>
        </is>
      </c>
      <c r="AU669">
        <f>HYPERLINK("https://creighton-primo.hosted.exlibrisgroup.com/primo-explore/search?tab=default_tab&amp;search_scope=EVERYTHING&amp;vid=01CRU&amp;lang=en_US&amp;offset=0&amp;query=any,contains,991003920969702656","Catalog Record")</f>
        <v/>
      </c>
      <c r="AV669">
        <f>HYPERLINK("http://www.worldcat.org/oclc/1870575","WorldCat Record")</f>
        <v/>
      </c>
      <c r="AW669" t="inlineStr">
        <is>
          <t>42750360:spa</t>
        </is>
      </c>
      <c r="AX669" t="inlineStr">
        <is>
          <t>1870575</t>
        </is>
      </c>
      <c r="AY669" t="inlineStr">
        <is>
          <t>991003920969702656</t>
        </is>
      </c>
      <c r="AZ669" t="inlineStr">
        <is>
          <t>991003920969702656</t>
        </is>
      </c>
      <c r="BA669" t="inlineStr">
        <is>
          <t>2255850600002656</t>
        </is>
      </c>
      <c r="BB669" t="inlineStr">
        <is>
          <t>BOOK</t>
        </is>
      </c>
      <c r="BD669" t="inlineStr">
        <is>
          <t>9788423302666</t>
        </is>
      </c>
      <c r="BE669" t="inlineStr">
        <is>
          <t>32285000570217</t>
        </is>
      </c>
      <c r="BF669" t="inlineStr">
        <is>
          <t>893234827</t>
        </is>
      </c>
    </row>
    <row r="670">
      <c r="A670" t="inlineStr">
        <is>
          <t>No</t>
        </is>
      </c>
      <c r="B670" t="inlineStr">
        <is>
          <t>CURAL</t>
        </is>
      </c>
      <c r="C670" t="inlineStr">
        <is>
          <t>SHELVES</t>
        </is>
      </c>
      <c r="D670" t="inlineStr">
        <is>
          <t>PQ6607.I238 C8</t>
        </is>
      </c>
      <c r="E670" t="inlineStr">
        <is>
          <t>0                      PQ 6607000I  238                C  8</t>
        </is>
      </c>
      <c r="F670" t="inlineStr">
        <is>
          <t>Cuentos crueles.</t>
        </is>
      </c>
      <c r="H670" t="inlineStr">
        <is>
          <t>No</t>
        </is>
      </c>
      <c r="I670" t="inlineStr">
        <is>
          <t>1</t>
        </is>
      </c>
      <c r="J670" t="inlineStr">
        <is>
          <t>No</t>
        </is>
      </c>
      <c r="K670" t="inlineStr">
        <is>
          <t>No</t>
        </is>
      </c>
      <c r="L670" t="inlineStr">
        <is>
          <t>0</t>
        </is>
      </c>
      <c r="M670" t="inlineStr">
        <is>
          <t>Díaz-Plaja, Fernando.</t>
        </is>
      </c>
      <c r="N670" t="inlineStr">
        <is>
          <t>Madrid, Alianza Editorial [1971]</t>
        </is>
      </c>
      <c r="O670" t="inlineStr">
        <is>
          <t>1971</t>
        </is>
      </c>
      <c r="Q670" t="inlineStr">
        <is>
          <t>spa</t>
        </is>
      </c>
      <c r="R670" t="inlineStr">
        <is>
          <t xml:space="preserve">sp </t>
        </is>
      </c>
      <c r="T670" t="inlineStr">
        <is>
          <t xml:space="preserve">PQ </t>
        </is>
      </c>
      <c r="U670" t="n">
        <v>1</v>
      </c>
      <c r="V670" t="n">
        <v>1</v>
      </c>
      <c r="W670" t="inlineStr">
        <is>
          <t>2005-02-20</t>
        </is>
      </c>
      <c r="X670" t="inlineStr">
        <is>
          <t>2005-02-20</t>
        </is>
      </c>
      <c r="Y670" t="inlineStr">
        <is>
          <t>1997-08-18</t>
        </is>
      </c>
      <c r="Z670" t="inlineStr">
        <is>
          <t>1997-08-18</t>
        </is>
      </c>
      <c r="AA670" t="n">
        <v>71</v>
      </c>
      <c r="AB670" t="n">
        <v>58</v>
      </c>
      <c r="AC670" t="n">
        <v>61</v>
      </c>
      <c r="AD670" t="n">
        <v>1</v>
      </c>
      <c r="AE670" t="n">
        <v>1</v>
      </c>
      <c r="AF670" t="n">
        <v>3</v>
      </c>
      <c r="AG670" t="n">
        <v>3</v>
      </c>
      <c r="AH670" t="n">
        <v>1</v>
      </c>
      <c r="AI670" t="n">
        <v>1</v>
      </c>
      <c r="AJ670" t="n">
        <v>2</v>
      </c>
      <c r="AK670" t="n">
        <v>2</v>
      </c>
      <c r="AL670" t="n">
        <v>2</v>
      </c>
      <c r="AM670" t="n">
        <v>2</v>
      </c>
      <c r="AN670" t="n">
        <v>0</v>
      </c>
      <c r="AO670" t="n">
        <v>0</v>
      </c>
      <c r="AP670" t="n">
        <v>0</v>
      </c>
      <c r="AQ670" t="n">
        <v>0</v>
      </c>
      <c r="AR670" t="inlineStr">
        <is>
          <t>No</t>
        </is>
      </c>
      <c r="AS670" t="inlineStr">
        <is>
          <t>Yes</t>
        </is>
      </c>
      <c r="AT670">
        <f>HYPERLINK("http://catalog.hathitrust.org/Record/007974595","HathiTrust Record")</f>
        <v/>
      </c>
      <c r="AU670">
        <f>HYPERLINK("https://creighton-primo.hosted.exlibrisgroup.com/primo-explore/search?tab=default_tab&amp;search_scope=EVERYTHING&amp;vid=01CRU&amp;lang=en_US&amp;offset=0&amp;query=any,contains,991003058149702656","Catalog Record")</f>
        <v/>
      </c>
      <c r="AV670">
        <f>HYPERLINK("http://www.worldcat.org/oclc/616061","WorldCat Record")</f>
        <v/>
      </c>
      <c r="AW670" t="inlineStr">
        <is>
          <t>1667188:spa</t>
        </is>
      </c>
      <c r="AX670" t="inlineStr">
        <is>
          <t>616061</t>
        </is>
      </c>
      <c r="AY670" t="inlineStr">
        <is>
          <t>991003058149702656</t>
        </is>
      </c>
      <c r="AZ670" t="inlineStr">
        <is>
          <t>991003058149702656</t>
        </is>
      </c>
      <c r="BA670" t="inlineStr">
        <is>
          <t>2269419360002656</t>
        </is>
      </c>
      <c r="BB670" t="inlineStr">
        <is>
          <t>BOOK</t>
        </is>
      </c>
      <c r="BE670" t="inlineStr">
        <is>
          <t>32285002942950</t>
        </is>
      </c>
      <c r="BF670" t="inlineStr">
        <is>
          <t>893524382</t>
        </is>
      </c>
    </row>
    <row r="671">
      <c r="A671" t="inlineStr">
        <is>
          <t>No</t>
        </is>
      </c>
      <c r="B671" t="inlineStr">
        <is>
          <t>CURAL</t>
        </is>
      </c>
      <c r="C671" t="inlineStr">
        <is>
          <t>SHELVES</t>
        </is>
      </c>
      <c r="D671" t="inlineStr">
        <is>
          <t>PQ6613.A7666 R3 1971</t>
        </is>
      </c>
      <c r="E671" t="inlineStr">
        <is>
          <t>0                      PQ 6613000A  7666               R  3           1971</t>
        </is>
      </c>
      <c r="F671" t="inlineStr">
        <is>
          <t>El rapto de las sabinas : con el caso del vizcaíno fingido y de las suecas lesbianas, felizmente esclarecido por el mejor policía de España, Manuel González, alias "Plinio", Jefe de la Guardia Municipal de Tomelloso (Ciudad Real) [por] F. García Pavón / Francisco Garcia Pavon.</t>
        </is>
      </c>
      <c r="H671" t="inlineStr">
        <is>
          <t>No</t>
        </is>
      </c>
      <c r="I671" t="inlineStr">
        <is>
          <t>1</t>
        </is>
      </c>
      <c r="J671" t="inlineStr">
        <is>
          <t>No</t>
        </is>
      </c>
      <c r="K671" t="inlineStr">
        <is>
          <t>No</t>
        </is>
      </c>
      <c r="L671" t="inlineStr">
        <is>
          <t>0</t>
        </is>
      </c>
      <c r="M671" t="inlineStr">
        <is>
          <t>García Pavón, Francisco, 1919-1989.</t>
        </is>
      </c>
      <c r="N671" t="inlineStr">
        <is>
          <t>[Barcelona] : Ediciones Destino, [1971]</t>
        </is>
      </c>
      <c r="O671" t="inlineStr">
        <is>
          <t>1971</t>
        </is>
      </c>
      <c r="P671" t="inlineStr">
        <is>
          <t>[4. ed.].</t>
        </is>
      </c>
      <c r="Q671" t="inlineStr">
        <is>
          <t>spa</t>
        </is>
      </c>
      <c r="R671" t="inlineStr">
        <is>
          <t xml:space="preserve">sp </t>
        </is>
      </c>
      <c r="S671" t="inlineStr">
        <is>
          <t>Ancora y delfín, 327</t>
        </is>
      </c>
      <c r="T671" t="inlineStr">
        <is>
          <t xml:space="preserve">PQ </t>
        </is>
      </c>
      <c r="U671" t="n">
        <v>1</v>
      </c>
      <c r="V671" t="n">
        <v>1</v>
      </c>
      <c r="W671" t="inlineStr">
        <is>
          <t>2005-03-23</t>
        </is>
      </c>
      <c r="X671" t="inlineStr">
        <is>
          <t>2005-03-23</t>
        </is>
      </c>
      <c r="Y671" t="inlineStr">
        <is>
          <t>2005-03-23</t>
        </is>
      </c>
      <c r="Z671" t="inlineStr">
        <is>
          <t>2005-03-23</t>
        </is>
      </c>
      <c r="AA671" t="n">
        <v>46</v>
      </c>
      <c r="AB671" t="n">
        <v>37</v>
      </c>
      <c r="AC671" t="n">
        <v>139</v>
      </c>
      <c r="AD671" t="n">
        <v>2</v>
      </c>
      <c r="AE671" t="n">
        <v>2</v>
      </c>
      <c r="AF671" t="n">
        <v>2</v>
      </c>
      <c r="AG671" t="n">
        <v>4</v>
      </c>
      <c r="AH671" t="n">
        <v>0</v>
      </c>
      <c r="AI671" t="n">
        <v>0</v>
      </c>
      <c r="AJ671" t="n">
        <v>0</v>
      </c>
      <c r="AK671" t="n">
        <v>2</v>
      </c>
      <c r="AL671" t="n">
        <v>1</v>
      </c>
      <c r="AM671" t="n">
        <v>1</v>
      </c>
      <c r="AN671" t="n">
        <v>1</v>
      </c>
      <c r="AO671" t="n">
        <v>1</v>
      </c>
      <c r="AP671" t="n">
        <v>0</v>
      </c>
      <c r="AQ671" t="n">
        <v>0</v>
      </c>
      <c r="AR671" t="inlineStr">
        <is>
          <t>No</t>
        </is>
      </c>
      <c r="AS671" t="inlineStr">
        <is>
          <t>No</t>
        </is>
      </c>
      <c r="AU671">
        <f>HYPERLINK("https://creighton-primo.hosted.exlibrisgroup.com/primo-explore/search?tab=default_tab&amp;search_scope=EVERYTHING&amp;vid=01CRU&amp;lang=en_US&amp;offset=0&amp;query=any,contains,991004509719702656","Catalog Record")</f>
        <v/>
      </c>
      <c r="AV671">
        <f>HYPERLINK("http://www.worldcat.org/oclc/1543145","WorldCat Record")</f>
        <v/>
      </c>
      <c r="AW671" t="inlineStr">
        <is>
          <t>4915583700:spa</t>
        </is>
      </c>
      <c r="AX671" t="inlineStr">
        <is>
          <t>1543145</t>
        </is>
      </c>
      <c r="AY671" t="inlineStr">
        <is>
          <t>991004509719702656</t>
        </is>
      </c>
      <c r="AZ671" t="inlineStr">
        <is>
          <t>991004509719702656</t>
        </is>
      </c>
      <c r="BA671" t="inlineStr">
        <is>
          <t>2262763030002656</t>
        </is>
      </c>
      <c r="BB671" t="inlineStr">
        <is>
          <t>BOOK</t>
        </is>
      </c>
      <c r="BE671" t="inlineStr">
        <is>
          <t>32285005044614</t>
        </is>
      </c>
      <c r="BF671" t="inlineStr">
        <is>
          <t>893442696</t>
        </is>
      </c>
    </row>
    <row r="672">
      <c r="A672" t="inlineStr">
        <is>
          <t>No</t>
        </is>
      </c>
      <c r="B672" t="inlineStr">
        <is>
          <t>CURAL</t>
        </is>
      </c>
      <c r="C672" t="inlineStr">
        <is>
          <t>SHELVES</t>
        </is>
      </c>
      <c r="D672" t="inlineStr">
        <is>
          <t>PQ6613.A7668 H57 1995</t>
        </is>
      </c>
      <c r="E672" t="inlineStr">
        <is>
          <t>0                      PQ 6613000A  7668               H  57          1995</t>
        </is>
      </c>
      <c r="F672" t="inlineStr">
        <is>
          <t>Una historia de amor en Caracas del angel y la bella lesbiana / José María García-Rodríguez.</t>
        </is>
      </c>
      <c r="H672" t="inlineStr">
        <is>
          <t>No</t>
        </is>
      </c>
      <c r="I672" t="inlineStr">
        <is>
          <t>1</t>
        </is>
      </c>
      <c r="J672" t="inlineStr">
        <is>
          <t>No</t>
        </is>
      </c>
      <c r="K672" t="inlineStr">
        <is>
          <t>No</t>
        </is>
      </c>
      <c r="L672" t="inlineStr">
        <is>
          <t>0</t>
        </is>
      </c>
      <c r="M672" t="inlineStr">
        <is>
          <t>García Rodríguez, José María, 1912-</t>
        </is>
      </c>
      <c r="N672" t="inlineStr">
        <is>
          <t>San Juan, Puerto Rico : [s.n.], 1995.</t>
        </is>
      </c>
      <c r="O672" t="inlineStr">
        <is>
          <t>1995</t>
        </is>
      </c>
      <c r="Q672" t="inlineStr">
        <is>
          <t>spa</t>
        </is>
      </c>
      <c r="R672" t="inlineStr">
        <is>
          <t xml:space="preserve">pr </t>
        </is>
      </c>
      <c r="S672" t="inlineStr">
        <is>
          <t>Hispanoamericanas ; v. 3</t>
        </is>
      </c>
      <c r="T672" t="inlineStr">
        <is>
          <t xml:space="preserve">PQ </t>
        </is>
      </c>
      <c r="U672" t="n">
        <v>2</v>
      </c>
      <c r="V672" t="n">
        <v>2</v>
      </c>
      <c r="W672" t="inlineStr">
        <is>
          <t>1998-02-05</t>
        </is>
      </c>
      <c r="X672" t="inlineStr">
        <is>
          <t>1998-02-05</t>
        </is>
      </c>
      <c r="Y672" t="inlineStr">
        <is>
          <t>1997-08-25</t>
        </is>
      </c>
      <c r="Z672" t="inlineStr">
        <is>
          <t>1997-08-25</t>
        </is>
      </c>
      <c r="AA672" t="n">
        <v>10</v>
      </c>
      <c r="AB672" t="n">
        <v>9</v>
      </c>
      <c r="AC672" t="n">
        <v>9</v>
      </c>
      <c r="AD672" t="n">
        <v>1</v>
      </c>
      <c r="AE672" t="n">
        <v>1</v>
      </c>
      <c r="AF672" t="n">
        <v>0</v>
      </c>
      <c r="AG672" t="n">
        <v>0</v>
      </c>
      <c r="AH672" t="n">
        <v>0</v>
      </c>
      <c r="AI672" t="n">
        <v>0</v>
      </c>
      <c r="AJ672" t="n">
        <v>0</v>
      </c>
      <c r="AK672" t="n">
        <v>0</v>
      </c>
      <c r="AL672" t="n">
        <v>0</v>
      </c>
      <c r="AM672" t="n">
        <v>0</v>
      </c>
      <c r="AN672" t="n">
        <v>0</v>
      </c>
      <c r="AO672" t="n">
        <v>0</v>
      </c>
      <c r="AP672" t="n">
        <v>0</v>
      </c>
      <c r="AQ672" t="n">
        <v>0</v>
      </c>
      <c r="AR672" t="inlineStr">
        <is>
          <t>No</t>
        </is>
      </c>
      <c r="AS672" t="inlineStr">
        <is>
          <t>No</t>
        </is>
      </c>
      <c r="AU672">
        <f>HYPERLINK("https://creighton-primo.hosted.exlibrisgroup.com/primo-explore/search?tab=default_tab&amp;search_scope=EVERYTHING&amp;vid=01CRU&amp;lang=en_US&amp;offset=0&amp;query=any,contains,991002799749702656","Catalog Record")</f>
        <v/>
      </c>
      <c r="AV672">
        <f>HYPERLINK("http://www.worldcat.org/oclc/36768757","WorldCat Record")</f>
        <v/>
      </c>
      <c r="AW672" t="inlineStr">
        <is>
          <t>40923698:spa</t>
        </is>
      </c>
      <c r="AX672" t="inlineStr">
        <is>
          <t>36768757</t>
        </is>
      </c>
      <c r="AY672" t="inlineStr">
        <is>
          <t>991002799749702656</t>
        </is>
      </c>
      <c r="AZ672" t="inlineStr">
        <is>
          <t>991002799749702656</t>
        </is>
      </c>
      <c r="BA672" t="inlineStr">
        <is>
          <t>2261719540002656</t>
        </is>
      </c>
      <c r="BB672" t="inlineStr">
        <is>
          <t>BOOK</t>
        </is>
      </c>
      <c r="BE672" t="inlineStr">
        <is>
          <t>32285003181715</t>
        </is>
      </c>
      <c r="BF672" t="inlineStr">
        <is>
          <t>893805052</t>
        </is>
      </c>
    </row>
    <row r="673">
      <c r="A673" t="inlineStr">
        <is>
          <t>No</t>
        </is>
      </c>
      <c r="B673" t="inlineStr">
        <is>
          <t>CURAL</t>
        </is>
      </c>
      <c r="C673" t="inlineStr">
        <is>
          <t>SHELVES</t>
        </is>
      </c>
      <c r="D673" t="inlineStr">
        <is>
          <t>PQ6613.I8 C57 1983</t>
        </is>
      </c>
      <c r="E673" t="inlineStr">
        <is>
          <t>0                      PQ 6613000I  8                  C  57          1983</t>
        </is>
      </c>
      <c r="F673" t="inlineStr">
        <is>
          <t>Cita en el cementerio : novela / José María Gironella.</t>
        </is>
      </c>
      <c r="H673" t="inlineStr">
        <is>
          <t>No</t>
        </is>
      </c>
      <c r="I673" t="inlineStr">
        <is>
          <t>1</t>
        </is>
      </c>
      <c r="J673" t="inlineStr">
        <is>
          <t>No</t>
        </is>
      </c>
      <c r="K673" t="inlineStr">
        <is>
          <t>No</t>
        </is>
      </c>
      <c r="L673" t="inlineStr">
        <is>
          <t>0</t>
        </is>
      </c>
      <c r="M673" t="inlineStr">
        <is>
          <t>Gironella, José María.</t>
        </is>
      </c>
      <c r="N673" t="inlineStr">
        <is>
          <t>Barcelona : Planeta, 1983.</t>
        </is>
      </c>
      <c r="O673" t="inlineStr">
        <is>
          <t>1983</t>
        </is>
      </c>
      <c r="P673" t="inlineStr">
        <is>
          <t>1. ed.</t>
        </is>
      </c>
      <c r="Q673" t="inlineStr">
        <is>
          <t>spa</t>
        </is>
      </c>
      <c r="R673" t="inlineStr">
        <is>
          <t xml:space="preserve">sp </t>
        </is>
      </c>
      <c r="S673" t="inlineStr">
        <is>
          <t>Colección contemporánea ; 27</t>
        </is>
      </c>
      <c r="T673" t="inlineStr">
        <is>
          <t xml:space="preserve">PQ </t>
        </is>
      </c>
      <c r="U673" t="n">
        <v>3</v>
      </c>
      <c r="V673" t="n">
        <v>3</v>
      </c>
      <c r="W673" t="inlineStr">
        <is>
          <t>1998-11-03</t>
        </is>
      </c>
      <c r="X673" t="inlineStr">
        <is>
          <t>1998-11-03</t>
        </is>
      </c>
      <c r="Y673" t="inlineStr">
        <is>
          <t>1991-07-03</t>
        </is>
      </c>
      <c r="Z673" t="inlineStr">
        <is>
          <t>1991-07-03</t>
        </is>
      </c>
      <c r="AA673" t="n">
        <v>125</v>
      </c>
      <c r="AB673" t="n">
        <v>96</v>
      </c>
      <c r="AC673" t="n">
        <v>102</v>
      </c>
      <c r="AD673" t="n">
        <v>1</v>
      </c>
      <c r="AE673" t="n">
        <v>1</v>
      </c>
      <c r="AF673" t="n">
        <v>4</v>
      </c>
      <c r="AG673" t="n">
        <v>4</v>
      </c>
      <c r="AH673" t="n">
        <v>2</v>
      </c>
      <c r="AI673" t="n">
        <v>2</v>
      </c>
      <c r="AJ673" t="n">
        <v>1</v>
      </c>
      <c r="AK673" t="n">
        <v>1</v>
      </c>
      <c r="AL673" t="n">
        <v>4</v>
      </c>
      <c r="AM673" t="n">
        <v>4</v>
      </c>
      <c r="AN673" t="n">
        <v>0</v>
      </c>
      <c r="AO673" t="n">
        <v>0</v>
      </c>
      <c r="AP673" t="n">
        <v>0</v>
      </c>
      <c r="AQ673" t="n">
        <v>0</v>
      </c>
      <c r="AR673" t="inlineStr">
        <is>
          <t>No</t>
        </is>
      </c>
      <c r="AS673" t="inlineStr">
        <is>
          <t>Yes</t>
        </is>
      </c>
      <c r="AT673">
        <f>HYPERLINK("http://catalog.hathitrust.org/Record/002704195","HathiTrust Record")</f>
        <v/>
      </c>
      <c r="AU673">
        <f>HYPERLINK("https://creighton-primo.hosted.exlibrisgroup.com/primo-explore/search?tab=default_tab&amp;search_scope=EVERYTHING&amp;vid=01CRU&amp;lang=en_US&amp;offset=0&amp;query=any,contains,991000284389702656","Catalog Record")</f>
        <v/>
      </c>
      <c r="AV673">
        <f>HYPERLINK("http://www.worldcat.org/oclc/9934207","WorldCat Record")</f>
        <v/>
      </c>
      <c r="AW673" t="inlineStr">
        <is>
          <t>6981579:spa</t>
        </is>
      </c>
      <c r="AX673" t="inlineStr">
        <is>
          <t>9934207</t>
        </is>
      </c>
      <c r="AY673" t="inlineStr">
        <is>
          <t>991000284389702656</t>
        </is>
      </c>
      <c r="AZ673" t="inlineStr">
        <is>
          <t>991000284389702656</t>
        </is>
      </c>
      <c r="BA673" t="inlineStr">
        <is>
          <t>2263414340002656</t>
        </is>
      </c>
      <c r="BB673" t="inlineStr">
        <is>
          <t>BOOK</t>
        </is>
      </c>
      <c r="BD673" t="inlineStr">
        <is>
          <t>9788432037573</t>
        </is>
      </c>
      <c r="BE673" t="inlineStr">
        <is>
          <t>32285000636646</t>
        </is>
      </c>
      <c r="BF673" t="inlineStr">
        <is>
          <t>893339440</t>
        </is>
      </c>
    </row>
    <row r="674">
      <c r="A674" t="inlineStr">
        <is>
          <t>No</t>
        </is>
      </c>
      <c r="B674" t="inlineStr">
        <is>
          <t>CURAL</t>
        </is>
      </c>
      <c r="C674" t="inlineStr">
        <is>
          <t>SHELVES</t>
        </is>
      </c>
      <c r="D674" t="inlineStr">
        <is>
          <t>PQ6613.O4 T6813 1989</t>
        </is>
      </c>
      <c r="E674" t="inlineStr">
        <is>
          <t>0                      PQ 6613000O  4                  T  6813        1989</t>
        </is>
      </c>
      <c r="F674" t="inlineStr">
        <is>
          <t>Aphorisms / Ramon Gomez de la Serna ; selected and translated into English from the texts entitled Greguerias, with a critical introduction, by Miguel Gonzalez-Gerth.</t>
        </is>
      </c>
      <c r="H674" t="inlineStr">
        <is>
          <t>No</t>
        </is>
      </c>
      <c r="I674" t="inlineStr">
        <is>
          <t>1</t>
        </is>
      </c>
      <c r="J674" t="inlineStr">
        <is>
          <t>No</t>
        </is>
      </c>
      <c r="K674" t="inlineStr">
        <is>
          <t>No</t>
        </is>
      </c>
      <c r="L674" t="inlineStr">
        <is>
          <t>0</t>
        </is>
      </c>
      <c r="M674" t="inlineStr">
        <is>
          <t>Gómez de la Serna, Ramón, 1888-1963.</t>
        </is>
      </c>
      <c r="N674" t="inlineStr">
        <is>
          <t>Pittsburgh, Pa. : Latin American Literary Review Press, 1989.</t>
        </is>
      </c>
      <c r="O674" t="inlineStr">
        <is>
          <t>1989</t>
        </is>
      </c>
      <c r="Q674" t="inlineStr">
        <is>
          <t>eng</t>
        </is>
      </c>
      <c r="R674" t="inlineStr">
        <is>
          <t>pau</t>
        </is>
      </c>
      <c r="S674" t="inlineStr">
        <is>
          <t>Discoveries</t>
        </is>
      </c>
      <c r="T674" t="inlineStr">
        <is>
          <t xml:space="preserve">PQ </t>
        </is>
      </c>
      <c r="U674" t="n">
        <v>1</v>
      </c>
      <c r="V674" t="n">
        <v>1</v>
      </c>
      <c r="W674" t="inlineStr">
        <is>
          <t>2005-03-02</t>
        </is>
      </c>
      <c r="X674" t="inlineStr">
        <is>
          <t>2005-03-02</t>
        </is>
      </c>
      <c r="Y674" t="inlineStr">
        <is>
          <t>2005-03-02</t>
        </is>
      </c>
      <c r="Z674" t="inlineStr">
        <is>
          <t>2005-03-02</t>
        </is>
      </c>
      <c r="AA674" t="n">
        <v>216</v>
      </c>
      <c r="AB674" t="n">
        <v>202</v>
      </c>
      <c r="AC674" t="n">
        <v>204</v>
      </c>
      <c r="AD674" t="n">
        <v>1</v>
      </c>
      <c r="AE674" t="n">
        <v>1</v>
      </c>
      <c r="AF674" t="n">
        <v>11</v>
      </c>
      <c r="AG674" t="n">
        <v>11</v>
      </c>
      <c r="AH674" t="n">
        <v>2</v>
      </c>
      <c r="AI674" t="n">
        <v>2</v>
      </c>
      <c r="AJ674" t="n">
        <v>5</v>
      </c>
      <c r="AK674" t="n">
        <v>5</v>
      </c>
      <c r="AL674" t="n">
        <v>6</v>
      </c>
      <c r="AM674" t="n">
        <v>6</v>
      </c>
      <c r="AN674" t="n">
        <v>0</v>
      </c>
      <c r="AO674" t="n">
        <v>0</v>
      </c>
      <c r="AP674" t="n">
        <v>0</v>
      </c>
      <c r="AQ674" t="n">
        <v>0</v>
      </c>
      <c r="AR674" t="inlineStr">
        <is>
          <t>No</t>
        </is>
      </c>
      <c r="AS674" t="inlineStr">
        <is>
          <t>Yes</t>
        </is>
      </c>
      <c r="AT674">
        <f>HYPERLINK("http://catalog.hathitrust.org/Record/001947595","HathiTrust Record")</f>
        <v/>
      </c>
      <c r="AU674">
        <f>HYPERLINK("https://creighton-primo.hosted.exlibrisgroup.com/primo-explore/search?tab=default_tab&amp;search_scope=EVERYTHING&amp;vid=01CRU&amp;lang=en_US&amp;offset=0&amp;query=any,contains,991004490039702656","Catalog Record")</f>
        <v/>
      </c>
      <c r="AV674">
        <f>HYPERLINK("http://www.worldcat.org/oclc/20055732","WorldCat Record")</f>
        <v/>
      </c>
      <c r="AW674" t="inlineStr">
        <is>
          <t>4160261372:eng</t>
        </is>
      </c>
      <c r="AX674" t="inlineStr">
        <is>
          <t>20055732</t>
        </is>
      </c>
      <c r="AY674" t="inlineStr">
        <is>
          <t>991004490039702656</t>
        </is>
      </c>
      <c r="AZ674" t="inlineStr">
        <is>
          <t>991004490039702656</t>
        </is>
      </c>
      <c r="BA674" t="inlineStr">
        <is>
          <t>2272478470002656</t>
        </is>
      </c>
      <c r="BB674" t="inlineStr">
        <is>
          <t>BOOK</t>
        </is>
      </c>
      <c r="BD674" t="inlineStr">
        <is>
          <t>9780935480429</t>
        </is>
      </c>
      <c r="BE674" t="inlineStr">
        <is>
          <t>32285005028823</t>
        </is>
      </c>
      <c r="BF674" t="inlineStr">
        <is>
          <t>893500630</t>
        </is>
      </c>
    </row>
    <row r="675">
      <c r="A675" t="inlineStr">
        <is>
          <t>No</t>
        </is>
      </c>
      <c r="B675" t="inlineStr">
        <is>
          <t>CURAL</t>
        </is>
      </c>
      <c r="C675" t="inlineStr">
        <is>
          <t>SHELVES</t>
        </is>
      </c>
      <c r="D675" t="inlineStr">
        <is>
          <t>PQ6613.O4 Z735 1986</t>
        </is>
      </c>
      <c r="E675" t="inlineStr">
        <is>
          <t>0                      PQ 6613000O  4                  Z  735         1986</t>
        </is>
      </c>
      <c r="F675" t="inlineStr">
        <is>
          <t>A labyrinth of imagery : Ramón Gómez de la Serna's novelas de la nebulosa / Miguel Gonzalez-Gerth.</t>
        </is>
      </c>
      <c r="H675" t="inlineStr">
        <is>
          <t>No</t>
        </is>
      </c>
      <c r="I675" t="inlineStr">
        <is>
          <t>1</t>
        </is>
      </c>
      <c r="J675" t="inlineStr">
        <is>
          <t>No</t>
        </is>
      </c>
      <c r="K675" t="inlineStr">
        <is>
          <t>No</t>
        </is>
      </c>
      <c r="L675" t="inlineStr">
        <is>
          <t>0</t>
        </is>
      </c>
      <c r="M675" t="inlineStr">
        <is>
          <t>Gonzalez-Gerth, Miguel.</t>
        </is>
      </c>
      <c r="N675" t="inlineStr">
        <is>
          <t>London : Tamesis Books, c1986.</t>
        </is>
      </c>
      <c r="O675" t="inlineStr">
        <is>
          <t>1986</t>
        </is>
      </c>
      <c r="Q675" t="inlineStr">
        <is>
          <t>eng</t>
        </is>
      </c>
      <c r="R675" t="inlineStr">
        <is>
          <t>enk</t>
        </is>
      </c>
      <c r="S675" t="inlineStr">
        <is>
          <t>Colección Támesis. Serie A, Monografías ; 120</t>
        </is>
      </c>
      <c r="T675" t="inlineStr">
        <is>
          <t xml:space="preserve">PQ </t>
        </is>
      </c>
      <c r="U675" t="n">
        <v>1</v>
      </c>
      <c r="V675" t="n">
        <v>1</v>
      </c>
      <c r="W675" t="inlineStr">
        <is>
          <t>2005-03-02</t>
        </is>
      </c>
      <c r="X675" t="inlineStr">
        <is>
          <t>2005-03-02</t>
        </is>
      </c>
      <c r="Y675" t="inlineStr">
        <is>
          <t>2005-03-02</t>
        </is>
      </c>
      <c r="Z675" t="inlineStr">
        <is>
          <t>2005-03-02</t>
        </is>
      </c>
      <c r="AA675" t="n">
        <v>169</v>
      </c>
      <c r="AB675" t="n">
        <v>122</v>
      </c>
      <c r="AC675" t="n">
        <v>122</v>
      </c>
      <c r="AD675" t="n">
        <v>2</v>
      </c>
      <c r="AE675" t="n">
        <v>2</v>
      </c>
      <c r="AF675" t="n">
        <v>4</v>
      </c>
      <c r="AG675" t="n">
        <v>4</v>
      </c>
      <c r="AH675" t="n">
        <v>1</v>
      </c>
      <c r="AI675" t="n">
        <v>1</v>
      </c>
      <c r="AJ675" t="n">
        <v>2</v>
      </c>
      <c r="AK675" t="n">
        <v>2</v>
      </c>
      <c r="AL675" t="n">
        <v>2</v>
      </c>
      <c r="AM675" t="n">
        <v>2</v>
      </c>
      <c r="AN675" t="n">
        <v>1</v>
      </c>
      <c r="AO675" t="n">
        <v>1</v>
      </c>
      <c r="AP675" t="n">
        <v>0</v>
      </c>
      <c r="AQ675" t="n">
        <v>0</v>
      </c>
      <c r="AR675" t="inlineStr">
        <is>
          <t>No</t>
        </is>
      </c>
      <c r="AS675" t="inlineStr">
        <is>
          <t>No</t>
        </is>
      </c>
      <c r="AU675">
        <f>HYPERLINK("https://creighton-primo.hosted.exlibrisgroup.com/primo-explore/search?tab=default_tab&amp;search_scope=EVERYTHING&amp;vid=01CRU&amp;lang=en_US&amp;offset=0&amp;query=any,contains,991004489489702656","Catalog Record")</f>
        <v/>
      </c>
      <c r="AV675">
        <f>HYPERLINK("http://www.worldcat.org/oclc/16751521","WorldCat Record")</f>
        <v/>
      </c>
      <c r="AW675" t="inlineStr">
        <is>
          <t>365328269:eng</t>
        </is>
      </c>
      <c r="AX675" t="inlineStr">
        <is>
          <t>16751521</t>
        </is>
      </c>
      <c r="AY675" t="inlineStr">
        <is>
          <t>991004489489702656</t>
        </is>
      </c>
      <c r="AZ675" t="inlineStr">
        <is>
          <t>991004489489702656</t>
        </is>
      </c>
      <c r="BA675" t="inlineStr">
        <is>
          <t>2255027880002656</t>
        </is>
      </c>
      <c r="BB675" t="inlineStr">
        <is>
          <t>BOOK</t>
        </is>
      </c>
      <c r="BD675" t="inlineStr">
        <is>
          <t>9780729302340</t>
        </is>
      </c>
      <c r="BE675" t="inlineStr">
        <is>
          <t>32285005028591</t>
        </is>
      </c>
      <c r="BF675" t="inlineStr">
        <is>
          <t>893628186</t>
        </is>
      </c>
    </row>
    <row r="676">
      <c r="A676" t="inlineStr">
        <is>
          <t>No</t>
        </is>
      </c>
      <c r="B676" t="inlineStr">
        <is>
          <t>CURAL</t>
        </is>
      </c>
      <c r="C676" t="inlineStr">
        <is>
          <t>SHELVES</t>
        </is>
      </c>
      <c r="D676" t="inlineStr">
        <is>
          <t>PQ6613.O4 Z95 1996</t>
        </is>
      </c>
      <c r="E676" t="inlineStr">
        <is>
          <t>0                      PQ 6613000O  4                  Z  95          1996</t>
        </is>
      </c>
      <c r="F676" t="inlineStr">
        <is>
          <t>Ramón y las vanguardias / Francisco Umbral ; praologo: Gonzalo Torrente Ballester.</t>
        </is>
      </c>
      <c r="H676" t="inlineStr">
        <is>
          <t>No</t>
        </is>
      </c>
      <c r="I676" t="inlineStr">
        <is>
          <t>1</t>
        </is>
      </c>
      <c r="J676" t="inlineStr">
        <is>
          <t>No</t>
        </is>
      </c>
      <c r="K676" t="inlineStr">
        <is>
          <t>No</t>
        </is>
      </c>
      <c r="L676" t="inlineStr">
        <is>
          <t>0</t>
        </is>
      </c>
      <c r="M676" t="inlineStr">
        <is>
          <t>Umbral, Francisco.</t>
        </is>
      </c>
      <c r="N676" t="inlineStr">
        <is>
          <t>Madrid : Espasa Calpe, 1996.</t>
        </is>
      </c>
      <c r="O676" t="inlineStr">
        <is>
          <t>1996</t>
        </is>
      </c>
      <c r="P676" t="inlineStr">
        <is>
          <t>2a. ed.</t>
        </is>
      </c>
      <c r="Q676" t="inlineStr">
        <is>
          <t>spa</t>
        </is>
      </c>
      <c r="R676" t="inlineStr">
        <is>
          <t xml:space="preserve">sp </t>
        </is>
      </c>
      <c r="S676" t="inlineStr">
        <is>
          <t>Colección Austral ; 383</t>
        </is>
      </c>
      <c r="T676" t="inlineStr">
        <is>
          <t xml:space="preserve">PQ </t>
        </is>
      </c>
      <c r="U676" t="n">
        <v>1</v>
      </c>
      <c r="V676" t="n">
        <v>1</v>
      </c>
      <c r="W676" t="inlineStr">
        <is>
          <t>2004-10-07</t>
        </is>
      </c>
      <c r="X676" t="inlineStr">
        <is>
          <t>2004-10-07</t>
        </is>
      </c>
      <c r="Y676" t="inlineStr">
        <is>
          <t>2004-10-07</t>
        </is>
      </c>
      <c r="Z676" t="inlineStr">
        <is>
          <t>2004-10-07</t>
        </is>
      </c>
      <c r="AA676" t="n">
        <v>22</v>
      </c>
      <c r="AB676" t="n">
        <v>17</v>
      </c>
      <c r="AC676" t="n">
        <v>18</v>
      </c>
      <c r="AD676" t="n">
        <v>1</v>
      </c>
      <c r="AE676" t="n">
        <v>1</v>
      </c>
      <c r="AF676" t="n">
        <v>0</v>
      </c>
      <c r="AG676" t="n">
        <v>0</v>
      </c>
      <c r="AH676" t="n">
        <v>0</v>
      </c>
      <c r="AI676" t="n">
        <v>0</v>
      </c>
      <c r="AJ676" t="n">
        <v>0</v>
      </c>
      <c r="AK676" t="n">
        <v>0</v>
      </c>
      <c r="AL676" t="n">
        <v>0</v>
      </c>
      <c r="AM676" t="n">
        <v>0</v>
      </c>
      <c r="AN676" t="n">
        <v>0</v>
      </c>
      <c r="AO676" t="n">
        <v>0</v>
      </c>
      <c r="AP676" t="n">
        <v>0</v>
      </c>
      <c r="AQ676" t="n">
        <v>0</v>
      </c>
      <c r="AR676" t="inlineStr">
        <is>
          <t>No</t>
        </is>
      </c>
      <c r="AS676" t="inlineStr">
        <is>
          <t>No</t>
        </is>
      </c>
      <c r="AU676">
        <f>HYPERLINK("https://creighton-primo.hosted.exlibrisgroup.com/primo-explore/search?tab=default_tab&amp;search_scope=EVERYTHING&amp;vid=01CRU&amp;lang=en_US&amp;offset=0&amp;query=any,contains,991004345809702656","Catalog Record")</f>
        <v/>
      </c>
      <c r="AV676">
        <f>HYPERLINK("http://www.worldcat.org/oclc/38025665","WorldCat Record")</f>
        <v/>
      </c>
      <c r="AW676" t="inlineStr">
        <is>
          <t>5090484354:spa</t>
        </is>
      </c>
      <c r="AX676" t="inlineStr">
        <is>
          <t>38025665</t>
        </is>
      </c>
      <c r="AY676" t="inlineStr">
        <is>
          <t>991004345809702656</t>
        </is>
      </c>
      <c r="AZ676" t="inlineStr">
        <is>
          <t>991004345809702656</t>
        </is>
      </c>
      <c r="BA676" t="inlineStr">
        <is>
          <t>2263629490002656</t>
        </is>
      </c>
      <c r="BB676" t="inlineStr">
        <is>
          <t>BOOK</t>
        </is>
      </c>
      <c r="BD676" t="inlineStr">
        <is>
          <t>9788423973835</t>
        </is>
      </c>
      <c r="BE676" t="inlineStr">
        <is>
          <t>32285005002349</t>
        </is>
      </c>
      <c r="BF676" t="inlineStr">
        <is>
          <t>893687623</t>
        </is>
      </c>
    </row>
    <row r="677">
      <c r="A677" t="inlineStr">
        <is>
          <t>No</t>
        </is>
      </c>
      <c r="B677" t="inlineStr">
        <is>
          <t>CURAL</t>
        </is>
      </c>
      <c r="C677" t="inlineStr">
        <is>
          <t>SHELVES</t>
        </is>
      </c>
      <c r="D677" t="inlineStr">
        <is>
          <t>PQ6613.O79 Z9</t>
        </is>
      </c>
      <c r="E677" t="inlineStr">
        <is>
          <t>0                      PQ 6613000O  79                 Z  9</t>
        </is>
      </c>
      <c r="F677" t="inlineStr">
        <is>
          <t>Juan Goytisolo.</t>
        </is>
      </c>
      <c r="H677" t="inlineStr">
        <is>
          <t>No</t>
        </is>
      </c>
      <c r="I677" t="inlineStr">
        <is>
          <t>1</t>
        </is>
      </c>
      <c r="J677" t="inlineStr">
        <is>
          <t>No</t>
        </is>
      </c>
      <c r="K677" t="inlineStr">
        <is>
          <t>No</t>
        </is>
      </c>
      <c r="L677" t="inlineStr">
        <is>
          <t>0</t>
        </is>
      </c>
      <c r="M677" t="inlineStr">
        <is>
          <t>Schwartz, Kessel.</t>
        </is>
      </c>
      <c r="N677" t="inlineStr">
        <is>
          <t>New York : Twayne Publishers, [c1970]</t>
        </is>
      </c>
      <c r="O677" t="inlineStr">
        <is>
          <t>1970</t>
        </is>
      </c>
      <c r="Q677" t="inlineStr">
        <is>
          <t>eng</t>
        </is>
      </c>
      <c r="R677" t="inlineStr">
        <is>
          <t>nyu</t>
        </is>
      </c>
      <c r="S677" t="inlineStr">
        <is>
          <t>Twayne's world authors series, TWAS 104. Spain</t>
        </is>
      </c>
      <c r="T677" t="inlineStr">
        <is>
          <t xml:space="preserve">PQ </t>
        </is>
      </c>
      <c r="U677" t="n">
        <v>1</v>
      </c>
      <c r="V677" t="n">
        <v>1</v>
      </c>
      <c r="W677" t="inlineStr">
        <is>
          <t>1995-04-24</t>
        </is>
      </c>
      <c r="X677" t="inlineStr">
        <is>
          <t>1995-04-24</t>
        </is>
      </c>
      <c r="Y677" t="inlineStr">
        <is>
          <t>1991-07-03</t>
        </is>
      </c>
      <c r="Z677" t="inlineStr">
        <is>
          <t>1991-07-03</t>
        </is>
      </c>
      <c r="AA677" t="n">
        <v>646</v>
      </c>
      <c r="AB677" t="n">
        <v>578</v>
      </c>
      <c r="AC677" t="n">
        <v>585</v>
      </c>
      <c r="AD677" t="n">
        <v>5</v>
      </c>
      <c r="AE677" t="n">
        <v>5</v>
      </c>
      <c r="AF677" t="n">
        <v>27</v>
      </c>
      <c r="AG677" t="n">
        <v>27</v>
      </c>
      <c r="AH677" t="n">
        <v>9</v>
      </c>
      <c r="AI677" t="n">
        <v>9</v>
      </c>
      <c r="AJ677" t="n">
        <v>7</v>
      </c>
      <c r="AK677" t="n">
        <v>7</v>
      </c>
      <c r="AL677" t="n">
        <v>16</v>
      </c>
      <c r="AM677" t="n">
        <v>16</v>
      </c>
      <c r="AN677" t="n">
        <v>3</v>
      </c>
      <c r="AO677" t="n">
        <v>3</v>
      </c>
      <c r="AP677" t="n">
        <v>0</v>
      </c>
      <c r="AQ677" t="n">
        <v>0</v>
      </c>
      <c r="AR677" t="inlineStr">
        <is>
          <t>No</t>
        </is>
      </c>
      <c r="AS677" t="inlineStr">
        <is>
          <t>Yes</t>
        </is>
      </c>
      <c r="AT677">
        <f>HYPERLINK("http://catalog.hathitrust.org/Record/001051726","HathiTrust Record")</f>
        <v/>
      </c>
      <c r="AU677">
        <f>HYPERLINK("https://creighton-primo.hosted.exlibrisgroup.com/primo-explore/search?tab=default_tab&amp;search_scope=EVERYTHING&amp;vid=01CRU&amp;lang=en_US&amp;offset=0&amp;query=any,contains,991000680919702656","Catalog Record")</f>
        <v/>
      </c>
      <c r="AV677">
        <f>HYPERLINK("http://www.worldcat.org/oclc/121907","WorldCat Record")</f>
        <v/>
      </c>
      <c r="AW677" t="inlineStr">
        <is>
          <t>1243980:eng</t>
        </is>
      </c>
      <c r="AX677" t="inlineStr">
        <is>
          <t>121907</t>
        </is>
      </c>
      <c r="AY677" t="inlineStr">
        <is>
          <t>991000680919702656</t>
        </is>
      </c>
      <c r="AZ677" t="inlineStr">
        <is>
          <t>991000680919702656</t>
        </is>
      </c>
      <c r="BA677" t="inlineStr">
        <is>
          <t>2262311460002656</t>
        </is>
      </c>
      <c r="BB677" t="inlineStr">
        <is>
          <t>BOOK</t>
        </is>
      </c>
      <c r="BE677" t="inlineStr">
        <is>
          <t>32285000636786</t>
        </is>
      </c>
      <c r="BF677" t="inlineStr">
        <is>
          <t>893796903</t>
        </is>
      </c>
    </row>
    <row r="678">
      <c r="A678" t="inlineStr">
        <is>
          <t>No</t>
        </is>
      </c>
      <c r="B678" t="inlineStr">
        <is>
          <t>CURAL</t>
        </is>
      </c>
      <c r="C678" t="inlineStr">
        <is>
          <t>SHELVES</t>
        </is>
      </c>
      <c r="D678" t="inlineStr">
        <is>
          <t>PQ6613.U5 A736 1974</t>
        </is>
      </c>
      <c r="E678" t="inlineStr">
        <is>
          <t>0                      PQ 6613000U  5                  A  736         1974</t>
        </is>
      </c>
      <c r="F678" t="inlineStr">
        <is>
          <t>Aire nuestro de Jorge Guillén / Ignacio Prat ; prólogo de José Manuel Blecua.</t>
        </is>
      </c>
      <c r="H678" t="inlineStr">
        <is>
          <t>No</t>
        </is>
      </c>
      <c r="I678" t="inlineStr">
        <is>
          <t>1</t>
        </is>
      </c>
      <c r="J678" t="inlineStr">
        <is>
          <t>No</t>
        </is>
      </c>
      <c r="K678" t="inlineStr">
        <is>
          <t>No</t>
        </is>
      </c>
      <c r="L678" t="inlineStr">
        <is>
          <t>0</t>
        </is>
      </c>
      <c r="M678" t="inlineStr">
        <is>
          <t>Prat, Ignacio, 1945-</t>
        </is>
      </c>
      <c r="N678" t="inlineStr">
        <is>
          <t>Barcelona : Editorial Planeta, [1974]</t>
        </is>
      </c>
      <c r="O678" t="inlineStr">
        <is>
          <t>1974</t>
        </is>
      </c>
      <c r="Q678" t="inlineStr">
        <is>
          <t>spa</t>
        </is>
      </c>
      <c r="R678" t="inlineStr">
        <is>
          <t xml:space="preserve">sp </t>
        </is>
      </c>
      <c r="S678" t="inlineStr">
        <is>
          <t>Ensayos Planeta de lingüística y crítica literaria ; 38</t>
        </is>
      </c>
      <c r="T678" t="inlineStr">
        <is>
          <t xml:space="preserve">PQ </t>
        </is>
      </c>
      <c r="U678" t="n">
        <v>1</v>
      </c>
      <c r="V678" t="n">
        <v>1</v>
      </c>
      <c r="W678" t="inlineStr">
        <is>
          <t>2005-04-06</t>
        </is>
      </c>
      <c r="X678" t="inlineStr">
        <is>
          <t>2005-04-06</t>
        </is>
      </c>
      <c r="Y678" t="inlineStr">
        <is>
          <t>2005-04-06</t>
        </is>
      </c>
      <c r="Z678" t="inlineStr">
        <is>
          <t>2005-04-06</t>
        </is>
      </c>
      <c r="AA678" t="n">
        <v>163</v>
      </c>
      <c r="AB678" t="n">
        <v>112</v>
      </c>
      <c r="AC678" t="n">
        <v>114</v>
      </c>
      <c r="AD678" t="n">
        <v>1</v>
      </c>
      <c r="AE678" t="n">
        <v>1</v>
      </c>
      <c r="AF678" t="n">
        <v>2</v>
      </c>
      <c r="AG678" t="n">
        <v>2</v>
      </c>
      <c r="AH678" t="n">
        <v>0</v>
      </c>
      <c r="AI678" t="n">
        <v>0</v>
      </c>
      <c r="AJ678" t="n">
        <v>1</v>
      </c>
      <c r="AK678" t="n">
        <v>1</v>
      </c>
      <c r="AL678" t="n">
        <v>1</v>
      </c>
      <c r="AM678" t="n">
        <v>1</v>
      </c>
      <c r="AN678" t="n">
        <v>0</v>
      </c>
      <c r="AO678" t="n">
        <v>0</v>
      </c>
      <c r="AP678" t="n">
        <v>0</v>
      </c>
      <c r="AQ678" t="n">
        <v>0</v>
      </c>
      <c r="AR678" t="inlineStr">
        <is>
          <t>No</t>
        </is>
      </c>
      <c r="AS678" t="inlineStr">
        <is>
          <t>Yes</t>
        </is>
      </c>
      <c r="AT678">
        <f>HYPERLINK("http://catalog.hathitrust.org/Record/001051773","HathiTrust Record")</f>
        <v/>
      </c>
      <c r="AU678">
        <f>HYPERLINK("https://creighton-primo.hosted.exlibrisgroup.com/primo-explore/search?tab=default_tab&amp;search_scope=EVERYTHING&amp;vid=01CRU&amp;lang=en_US&amp;offset=0&amp;query=any,contains,991004522369702656","Catalog Record")</f>
        <v/>
      </c>
      <c r="AV678">
        <f>HYPERLINK("http://www.worldcat.org/oclc/1293371","WorldCat Record")</f>
        <v/>
      </c>
      <c r="AW678" t="inlineStr">
        <is>
          <t>5608853687:spa</t>
        </is>
      </c>
      <c r="AX678" t="inlineStr">
        <is>
          <t>1293371</t>
        </is>
      </c>
      <c r="AY678" t="inlineStr">
        <is>
          <t>991004522369702656</t>
        </is>
      </c>
      <c r="AZ678" t="inlineStr">
        <is>
          <t>991004522369702656</t>
        </is>
      </c>
      <c r="BA678" t="inlineStr">
        <is>
          <t>2255821280002656</t>
        </is>
      </c>
      <c r="BB678" t="inlineStr">
        <is>
          <t>BOOK</t>
        </is>
      </c>
      <c r="BD678" t="inlineStr">
        <is>
          <t>9788432076282</t>
        </is>
      </c>
      <c r="BE678" t="inlineStr">
        <is>
          <t>32285005048128</t>
        </is>
      </c>
      <c r="BF678" t="inlineStr">
        <is>
          <t>893700347</t>
        </is>
      </c>
    </row>
    <row r="679">
      <c r="A679" t="inlineStr">
        <is>
          <t>No</t>
        </is>
      </c>
      <c r="B679" t="inlineStr">
        <is>
          <t>CURAL</t>
        </is>
      </c>
      <c r="C679" t="inlineStr">
        <is>
          <t>SHELVES</t>
        </is>
      </c>
      <c r="D679" t="inlineStr">
        <is>
          <t>PQ6615.E57 Z61518 1978</t>
        </is>
      </c>
      <c r="E679" t="inlineStr">
        <is>
          <t>0                      PQ 6615000E  57                 Z  61518       1978</t>
        </is>
      </c>
      <c r="F679" t="inlineStr">
        <is>
          <t>Los temas poe'ticos de Miguel Herna'ndez / por Marie Chevallier ; traduccio'n de Arcadio Pardo.</t>
        </is>
      </c>
      <c r="H679" t="inlineStr">
        <is>
          <t>No</t>
        </is>
      </c>
      <c r="I679" t="inlineStr">
        <is>
          <t>1</t>
        </is>
      </c>
      <c r="J679" t="inlineStr">
        <is>
          <t>No</t>
        </is>
      </c>
      <c r="K679" t="inlineStr">
        <is>
          <t>No</t>
        </is>
      </c>
      <c r="L679" t="inlineStr">
        <is>
          <t>0</t>
        </is>
      </c>
      <c r="M679" t="inlineStr">
        <is>
          <t>Chevallier, Marie.</t>
        </is>
      </c>
      <c r="N679" t="inlineStr">
        <is>
          <t>Madrid : Siglo Veintiuno de Espan~a, 1978.</t>
        </is>
      </c>
      <c r="O679" t="inlineStr">
        <is>
          <t>1978</t>
        </is>
      </c>
      <c r="P679" t="inlineStr">
        <is>
          <t>1. ed.</t>
        </is>
      </c>
      <c r="Q679" t="inlineStr">
        <is>
          <t>spa</t>
        </is>
      </c>
      <c r="R679" t="inlineStr">
        <is>
          <t xml:space="preserve">sp </t>
        </is>
      </c>
      <c r="T679" t="inlineStr">
        <is>
          <t xml:space="preserve">PQ </t>
        </is>
      </c>
      <c r="U679" t="n">
        <v>1</v>
      </c>
      <c r="V679" t="n">
        <v>1</v>
      </c>
      <c r="W679" t="inlineStr">
        <is>
          <t>2004-06-10</t>
        </is>
      </c>
      <c r="X679" t="inlineStr">
        <is>
          <t>2004-06-10</t>
        </is>
      </c>
      <c r="Y679" t="inlineStr">
        <is>
          <t>2004-06-10</t>
        </is>
      </c>
      <c r="Z679" t="inlineStr">
        <is>
          <t>2004-06-10</t>
        </is>
      </c>
      <c r="AA679" t="n">
        <v>124</v>
      </c>
      <c r="AB679" t="n">
        <v>86</v>
      </c>
      <c r="AC679" t="n">
        <v>161</v>
      </c>
      <c r="AD679" t="n">
        <v>2</v>
      </c>
      <c r="AE679" t="n">
        <v>2</v>
      </c>
      <c r="AF679" t="n">
        <v>4</v>
      </c>
      <c r="AG679" t="n">
        <v>7</v>
      </c>
      <c r="AH679" t="n">
        <v>0</v>
      </c>
      <c r="AI679" t="n">
        <v>0</v>
      </c>
      <c r="AJ679" t="n">
        <v>2</v>
      </c>
      <c r="AK679" t="n">
        <v>3</v>
      </c>
      <c r="AL679" t="n">
        <v>3</v>
      </c>
      <c r="AM679" t="n">
        <v>5</v>
      </c>
      <c r="AN679" t="n">
        <v>1</v>
      </c>
      <c r="AO679" t="n">
        <v>1</v>
      </c>
      <c r="AP679" t="n">
        <v>0</v>
      </c>
      <c r="AQ679" t="n">
        <v>0</v>
      </c>
      <c r="AR679" t="inlineStr">
        <is>
          <t>No</t>
        </is>
      </c>
      <c r="AS679" t="inlineStr">
        <is>
          <t>Yes</t>
        </is>
      </c>
      <c r="AT679">
        <f>HYPERLINK("http://catalog.hathitrust.org/Record/000946421","HathiTrust Record")</f>
        <v/>
      </c>
      <c r="AU679">
        <f>HYPERLINK("https://creighton-primo.hosted.exlibrisgroup.com/primo-explore/search?tab=default_tab&amp;search_scope=EVERYTHING&amp;vid=01CRU&amp;lang=en_US&amp;offset=0&amp;query=any,contains,991004311109702656","Catalog Record")</f>
        <v/>
      </c>
      <c r="AV679">
        <f>HYPERLINK("http://www.worldcat.org/oclc/6040530","WorldCat Record")</f>
        <v/>
      </c>
      <c r="AW679" t="inlineStr">
        <is>
          <t>350302771:spa</t>
        </is>
      </c>
      <c r="AX679" t="inlineStr">
        <is>
          <t>6040530</t>
        </is>
      </c>
      <c r="AY679" t="inlineStr">
        <is>
          <t>991004311109702656</t>
        </is>
      </c>
      <c r="AZ679" t="inlineStr">
        <is>
          <t>991004311109702656</t>
        </is>
      </c>
      <c r="BA679" t="inlineStr">
        <is>
          <t>2259313010002656</t>
        </is>
      </c>
      <c r="BB679" t="inlineStr">
        <is>
          <t>BOOK</t>
        </is>
      </c>
      <c r="BD679" t="inlineStr">
        <is>
          <t>9788432303180</t>
        </is>
      </c>
      <c r="BE679" t="inlineStr">
        <is>
          <t>32285004909296</t>
        </is>
      </c>
      <c r="BF679" t="inlineStr">
        <is>
          <t>893263195</t>
        </is>
      </c>
    </row>
    <row r="680">
      <c r="A680" t="inlineStr">
        <is>
          <t>No</t>
        </is>
      </c>
      <c r="B680" t="inlineStr">
        <is>
          <t>CURAL</t>
        </is>
      </c>
      <c r="C680" t="inlineStr">
        <is>
          <t>SHELVES</t>
        </is>
      </c>
      <c r="D680" t="inlineStr">
        <is>
          <t>PQ6619.I4 Z615</t>
        </is>
      </c>
      <c r="E680" t="inlineStr">
        <is>
          <t>0                      PQ 6619000I  4                  Z  615</t>
        </is>
      </c>
      <c r="F680" t="inlineStr">
        <is>
          <t>Juan Ramón Jiménez / by Donald F. Fogelquist.</t>
        </is>
      </c>
      <c r="H680" t="inlineStr">
        <is>
          <t>No</t>
        </is>
      </c>
      <c r="I680" t="inlineStr">
        <is>
          <t>1</t>
        </is>
      </c>
      <c r="J680" t="inlineStr">
        <is>
          <t>No</t>
        </is>
      </c>
      <c r="K680" t="inlineStr">
        <is>
          <t>No</t>
        </is>
      </c>
      <c r="L680" t="inlineStr">
        <is>
          <t>0</t>
        </is>
      </c>
      <c r="M680" t="inlineStr">
        <is>
          <t>Fogelquist, Donald F.</t>
        </is>
      </c>
      <c r="N680" t="inlineStr">
        <is>
          <t>Boston : Twayne Publishers, c1976.</t>
        </is>
      </c>
      <c r="O680" t="inlineStr">
        <is>
          <t>1976</t>
        </is>
      </c>
      <c r="Q680" t="inlineStr">
        <is>
          <t>eng</t>
        </is>
      </c>
      <c r="R680" t="inlineStr">
        <is>
          <t>mau</t>
        </is>
      </c>
      <c r="S680" t="inlineStr">
        <is>
          <t>Twayne's world authors series ; TWAS 379 : Spain</t>
        </is>
      </c>
      <c r="T680" t="inlineStr">
        <is>
          <t xml:space="preserve">PQ </t>
        </is>
      </c>
      <c r="U680" t="n">
        <v>3</v>
      </c>
      <c r="V680" t="n">
        <v>3</v>
      </c>
      <c r="W680" t="inlineStr">
        <is>
          <t>2003-04-24</t>
        </is>
      </c>
      <c r="X680" t="inlineStr">
        <is>
          <t>2003-04-24</t>
        </is>
      </c>
      <c r="Y680" t="inlineStr">
        <is>
          <t>1991-07-19</t>
        </is>
      </c>
      <c r="Z680" t="inlineStr">
        <is>
          <t>1991-07-19</t>
        </is>
      </c>
      <c r="AA680" t="n">
        <v>605</v>
      </c>
      <c r="AB680" t="n">
        <v>546</v>
      </c>
      <c r="AC680" t="n">
        <v>554</v>
      </c>
      <c r="AD680" t="n">
        <v>6</v>
      </c>
      <c r="AE680" t="n">
        <v>6</v>
      </c>
      <c r="AF680" t="n">
        <v>27</v>
      </c>
      <c r="AG680" t="n">
        <v>27</v>
      </c>
      <c r="AH680" t="n">
        <v>10</v>
      </c>
      <c r="AI680" t="n">
        <v>10</v>
      </c>
      <c r="AJ680" t="n">
        <v>8</v>
      </c>
      <c r="AK680" t="n">
        <v>8</v>
      </c>
      <c r="AL680" t="n">
        <v>11</v>
      </c>
      <c r="AM680" t="n">
        <v>11</v>
      </c>
      <c r="AN680" t="n">
        <v>5</v>
      </c>
      <c r="AO680" t="n">
        <v>5</v>
      </c>
      <c r="AP680" t="n">
        <v>0</v>
      </c>
      <c r="AQ680" t="n">
        <v>0</v>
      </c>
      <c r="AR680" t="inlineStr">
        <is>
          <t>No</t>
        </is>
      </c>
      <c r="AS680" t="inlineStr">
        <is>
          <t>Yes</t>
        </is>
      </c>
      <c r="AT680">
        <f>HYPERLINK("http://catalog.hathitrust.org/Record/000034002","HathiTrust Record")</f>
        <v/>
      </c>
      <c r="AU680">
        <f>HYPERLINK("https://creighton-primo.hosted.exlibrisgroup.com/primo-explore/search?tab=default_tab&amp;search_scope=EVERYTHING&amp;vid=01CRU&amp;lang=en_US&amp;offset=0&amp;query=any,contains,991003829229702656","Catalog Record")</f>
        <v/>
      </c>
      <c r="AV680">
        <f>HYPERLINK("http://www.worldcat.org/oclc/1582840","WorldCat Record")</f>
        <v/>
      </c>
      <c r="AW680" t="inlineStr">
        <is>
          <t>3855604824:eng</t>
        </is>
      </c>
      <c r="AX680" t="inlineStr">
        <is>
          <t>1582840</t>
        </is>
      </c>
      <c r="AY680" t="inlineStr">
        <is>
          <t>991003829229702656</t>
        </is>
      </c>
      <c r="AZ680" t="inlineStr">
        <is>
          <t>991003829229702656</t>
        </is>
      </c>
      <c r="BA680" t="inlineStr">
        <is>
          <t>2270794160002656</t>
        </is>
      </c>
      <c r="BB680" t="inlineStr">
        <is>
          <t>BOOK</t>
        </is>
      </c>
      <c r="BD680" t="inlineStr">
        <is>
          <t>9780805761801</t>
        </is>
      </c>
      <c r="BE680" t="inlineStr">
        <is>
          <t>32285000676535</t>
        </is>
      </c>
      <c r="BF680" t="inlineStr">
        <is>
          <t>893240654</t>
        </is>
      </c>
    </row>
    <row r="681">
      <c r="A681" t="inlineStr">
        <is>
          <t>No</t>
        </is>
      </c>
      <c r="B681" t="inlineStr">
        <is>
          <t>CURAL</t>
        </is>
      </c>
      <c r="C681" t="inlineStr">
        <is>
          <t>SHELVES</t>
        </is>
      </c>
      <c r="D681" t="inlineStr">
        <is>
          <t>PQ6619.I4 Z656 1968</t>
        </is>
      </c>
      <c r="E681" t="inlineStr">
        <is>
          <t>0                      PQ 6619000I  4                  Z  656         1968</t>
        </is>
      </c>
      <c r="F681" t="inlineStr">
        <is>
          <t>El último Juan Ramón Jiménez : así se fueron los ríos / Ricardo Gullón.</t>
        </is>
      </c>
      <c r="H681" t="inlineStr">
        <is>
          <t>No</t>
        </is>
      </c>
      <c r="I681" t="inlineStr">
        <is>
          <t>1</t>
        </is>
      </c>
      <c r="J681" t="inlineStr">
        <is>
          <t>No</t>
        </is>
      </c>
      <c r="K681" t="inlineStr">
        <is>
          <t>No</t>
        </is>
      </c>
      <c r="L681" t="inlineStr">
        <is>
          <t>0</t>
        </is>
      </c>
      <c r="M681" t="inlineStr">
        <is>
          <t>Gullón, Ricardo, 1908-1991.</t>
        </is>
      </c>
      <c r="N681" t="inlineStr">
        <is>
          <t>Madrid : Alfaguara, [1968]</t>
        </is>
      </c>
      <c r="O681" t="inlineStr">
        <is>
          <t>1968</t>
        </is>
      </c>
      <c r="P681" t="inlineStr">
        <is>
          <t>1. ed. española.</t>
        </is>
      </c>
      <c r="Q681" t="inlineStr">
        <is>
          <t>spa</t>
        </is>
      </c>
      <c r="R681" t="inlineStr">
        <is>
          <t xml:space="preserve">sp </t>
        </is>
      </c>
      <c r="S681" t="inlineStr">
        <is>
          <t>Estudios de literatura contemporánea ; 2</t>
        </is>
      </c>
      <c r="T681" t="inlineStr">
        <is>
          <t xml:space="preserve">PQ </t>
        </is>
      </c>
      <c r="U681" t="n">
        <v>1</v>
      </c>
      <c r="V681" t="n">
        <v>1</v>
      </c>
      <c r="W681" t="inlineStr">
        <is>
          <t>2005-04-06</t>
        </is>
      </c>
      <c r="X681" t="inlineStr">
        <is>
          <t>2005-04-06</t>
        </is>
      </c>
      <c r="Y681" t="inlineStr">
        <is>
          <t>2005-04-06</t>
        </is>
      </c>
      <c r="Z681" t="inlineStr">
        <is>
          <t>2005-04-06</t>
        </is>
      </c>
      <c r="AA681" t="n">
        <v>275</v>
      </c>
      <c r="AB681" t="n">
        <v>231</v>
      </c>
      <c r="AC681" t="n">
        <v>238</v>
      </c>
      <c r="AD681" t="n">
        <v>2</v>
      </c>
      <c r="AE681" t="n">
        <v>2</v>
      </c>
      <c r="AF681" t="n">
        <v>10</v>
      </c>
      <c r="AG681" t="n">
        <v>11</v>
      </c>
      <c r="AH681" t="n">
        <v>2</v>
      </c>
      <c r="AI681" t="n">
        <v>2</v>
      </c>
      <c r="AJ681" t="n">
        <v>3</v>
      </c>
      <c r="AK681" t="n">
        <v>4</v>
      </c>
      <c r="AL681" t="n">
        <v>5</v>
      </c>
      <c r="AM681" t="n">
        <v>5</v>
      </c>
      <c r="AN681" t="n">
        <v>1</v>
      </c>
      <c r="AO681" t="n">
        <v>1</v>
      </c>
      <c r="AP681" t="n">
        <v>0</v>
      </c>
      <c r="AQ681" t="n">
        <v>0</v>
      </c>
      <c r="AR681" t="inlineStr">
        <is>
          <t>No</t>
        </is>
      </c>
      <c r="AS681" t="inlineStr">
        <is>
          <t>Yes</t>
        </is>
      </c>
      <c r="AT681">
        <f>HYPERLINK("http://catalog.hathitrust.org/Record/001037776","HathiTrust Record")</f>
        <v/>
      </c>
      <c r="AU681">
        <f>HYPERLINK("https://creighton-primo.hosted.exlibrisgroup.com/primo-explore/search?tab=default_tab&amp;search_scope=EVERYTHING&amp;vid=01CRU&amp;lang=en_US&amp;offset=0&amp;query=any,contains,991004522869702656","Catalog Record")</f>
        <v/>
      </c>
      <c r="AV681">
        <f>HYPERLINK("http://www.worldcat.org/oclc/279638","WorldCat Record")</f>
        <v/>
      </c>
      <c r="AW681" t="inlineStr">
        <is>
          <t>160647255:spa</t>
        </is>
      </c>
      <c r="AX681" t="inlineStr">
        <is>
          <t>279638</t>
        </is>
      </c>
      <c r="AY681" t="inlineStr">
        <is>
          <t>991004522869702656</t>
        </is>
      </c>
      <c r="AZ681" t="inlineStr">
        <is>
          <t>991004522869702656</t>
        </is>
      </c>
      <c r="BA681" t="inlineStr">
        <is>
          <t>2261714420002656</t>
        </is>
      </c>
      <c r="BB681" t="inlineStr">
        <is>
          <t>BOOK</t>
        </is>
      </c>
      <c r="BE681" t="inlineStr">
        <is>
          <t>32285005048326</t>
        </is>
      </c>
      <c r="BF681" t="inlineStr">
        <is>
          <t>893706532</t>
        </is>
      </c>
    </row>
    <row r="682">
      <c r="A682" t="inlineStr">
        <is>
          <t>No</t>
        </is>
      </c>
      <c r="B682" t="inlineStr">
        <is>
          <t>CURAL</t>
        </is>
      </c>
      <c r="C682" t="inlineStr">
        <is>
          <t>SHELVES</t>
        </is>
      </c>
      <c r="D682" t="inlineStr">
        <is>
          <t>PQ6621.A38 Z7</t>
        </is>
      </c>
      <c r="E682" t="inlineStr">
        <is>
          <t>0                      PQ 6621000A  38                 Z  7</t>
        </is>
      </c>
      <c r="F682" t="inlineStr">
        <is>
          <t>La novelística de Carmen Laforet.</t>
        </is>
      </c>
      <c r="H682" t="inlineStr">
        <is>
          <t>No</t>
        </is>
      </c>
      <c r="I682" t="inlineStr">
        <is>
          <t>1</t>
        </is>
      </c>
      <c r="J682" t="inlineStr">
        <is>
          <t>No</t>
        </is>
      </c>
      <c r="K682" t="inlineStr">
        <is>
          <t>No</t>
        </is>
      </c>
      <c r="L682" t="inlineStr">
        <is>
          <t>0</t>
        </is>
      </c>
      <c r="M682" t="inlineStr">
        <is>
          <t>Illanes Adaro, Graciela.</t>
        </is>
      </c>
      <c r="N682" t="inlineStr">
        <is>
          <t>[Madrid] Gredos [1971]</t>
        </is>
      </c>
      <c r="O682" t="inlineStr">
        <is>
          <t>1971</t>
        </is>
      </c>
      <c r="Q682" t="inlineStr">
        <is>
          <t>spa</t>
        </is>
      </c>
      <c r="R682" t="inlineStr">
        <is>
          <t xml:space="preserve">sp </t>
        </is>
      </c>
      <c r="T682" t="inlineStr">
        <is>
          <t xml:space="preserve">PQ </t>
        </is>
      </c>
      <c r="U682" t="n">
        <v>1</v>
      </c>
      <c r="V682" t="n">
        <v>1</v>
      </c>
      <c r="W682" t="inlineStr">
        <is>
          <t>2004-04-27</t>
        </is>
      </c>
      <c r="X682" t="inlineStr">
        <is>
          <t>2004-04-27</t>
        </is>
      </c>
      <c r="Y682" t="inlineStr">
        <is>
          <t>1997-08-27</t>
        </is>
      </c>
      <c r="Z682" t="inlineStr">
        <is>
          <t>1997-08-27</t>
        </is>
      </c>
      <c r="AA682" t="n">
        <v>313</v>
      </c>
      <c r="AB682" t="n">
        <v>256</v>
      </c>
      <c r="AC682" t="n">
        <v>260</v>
      </c>
      <c r="AD682" t="n">
        <v>4</v>
      </c>
      <c r="AE682" t="n">
        <v>4</v>
      </c>
      <c r="AF682" t="n">
        <v>14</v>
      </c>
      <c r="AG682" t="n">
        <v>14</v>
      </c>
      <c r="AH682" t="n">
        <v>3</v>
      </c>
      <c r="AI682" t="n">
        <v>3</v>
      </c>
      <c r="AJ682" t="n">
        <v>4</v>
      </c>
      <c r="AK682" t="n">
        <v>4</v>
      </c>
      <c r="AL682" t="n">
        <v>7</v>
      </c>
      <c r="AM682" t="n">
        <v>7</v>
      </c>
      <c r="AN682" t="n">
        <v>3</v>
      </c>
      <c r="AO682" t="n">
        <v>3</v>
      </c>
      <c r="AP682" t="n">
        <v>0</v>
      </c>
      <c r="AQ682" t="n">
        <v>0</v>
      </c>
      <c r="AR682" t="inlineStr">
        <is>
          <t>No</t>
        </is>
      </c>
      <c r="AS682" t="inlineStr">
        <is>
          <t>Yes</t>
        </is>
      </c>
      <c r="AT682">
        <f>HYPERLINK("http://catalog.hathitrust.org/Record/001590681","HathiTrust Record")</f>
        <v/>
      </c>
      <c r="AU682">
        <f>HYPERLINK("https://creighton-primo.hosted.exlibrisgroup.com/primo-explore/search?tab=default_tab&amp;search_scope=EVERYTHING&amp;vid=01CRU&amp;lang=en_US&amp;offset=0&amp;query=any,contains,991002297149702656","Catalog Record")</f>
        <v/>
      </c>
      <c r="AV682">
        <f>HYPERLINK("http://www.worldcat.org/oclc/316230","WorldCat Record")</f>
        <v/>
      </c>
      <c r="AW682" t="inlineStr">
        <is>
          <t>349264071:spa</t>
        </is>
      </c>
      <c r="AX682" t="inlineStr">
        <is>
          <t>316230</t>
        </is>
      </c>
      <c r="AY682" t="inlineStr">
        <is>
          <t>991002297149702656</t>
        </is>
      </c>
      <c r="AZ682" t="inlineStr">
        <is>
          <t>991002297149702656</t>
        </is>
      </c>
      <c r="BA682" t="inlineStr">
        <is>
          <t>2269563560002656</t>
        </is>
      </c>
      <c r="BB682" t="inlineStr">
        <is>
          <t>BOOK</t>
        </is>
      </c>
      <c r="BE682" t="inlineStr">
        <is>
          <t>32285002943503</t>
        </is>
      </c>
      <c r="BF682" t="inlineStr">
        <is>
          <t>893785976</t>
        </is>
      </c>
    </row>
    <row r="683">
      <c r="A683" t="inlineStr">
        <is>
          <t>No</t>
        </is>
      </c>
      <c r="B683" t="inlineStr">
        <is>
          <t>CURAL</t>
        </is>
      </c>
      <c r="C683" t="inlineStr">
        <is>
          <t>SHELVES</t>
        </is>
      </c>
      <c r="D683" t="inlineStr">
        <is>
          <t>PQ6621.A38 Z73</t>
        </is>
      </c>
      <c r="E683" t="inlineStr">
        <is>
          <t>0                      PQ 6621000A  38                 Z  73</t>
        </is>
      </c>
      <c r="F683" t="inlineStr">
        <is>
          <t>Carmen Laforet / by Roberta Johnson.</t>
        </is>
      </c>
      <c r="H683" t="inlineStr">
        <is>
          <t>No</t>
        </is>
      </c>
      <c r="I683" t="inlineStr">
        <is>
          <t>1</t>
        </is>
      </c>
      <c r="J683" t="inlineStr">
        <is>
          <t>No</t>
        </is>
      </c>
      <c r="K683" t="inlineStr">
        <is>
          <t>No</t>
        </is>
      </c>
      <c r="L683" t="inlineStr">
        <is>
          <t>0</t>
        </is>
      </c>
      <c r="M683" t="inlineStr">
        <is>
          <t>Johnson, Roberta, 1942-</t>
        </is>
      </c>
      <c r="N683" t="inlineStr">
        <is>
          <t>Boston : Twayne Publishers, 1981.</t>
        </is>
      </c>
      <c r="O683" t="inlineStr">
        <is>
          <t>1981</t>
        </is>
      </c>
      <c r="Q683" t="inlineStr">
        <is>
          <t>eng</t>
        </is>
      </c>
      <c r="R683" t="inlineStr">
        <is>
          <t>mau</t>
        </is>
      </c>
      <c r="S683" t="inlineStr">
        <is>
          <t>Twayne's world authors series ; TWAS 601 : Spain</t>
        </is>
      </c>
      <c r="T683" t="inlineStr">
        <is>
          <t xml:space="preserve">PQ </t>
        </is>
      </c>
      <c r="U683" t="n">
        <v>1</v>
      </c>
      <c r="V683" t="n">
        <v>1</v>
      </c>
      <c r="W683" t="inlineStr">
        <is>
          <t>2004-04-26</t>
        </is>
      </c>
      <c r="X683" t="inlineStr">
        <is>
          <t>2004-04-26</t>
        </is>
      </c>
      <c r="Y683" t="inlineStr">
        <is>
          <t>1991-07-18</t>
        </is>
      </c>
      <c r="Z683" t="inlineStr">
        <is>
          <t>1991-07-18</t>
        </is>
      </c>
      <c r="AA683" t="n">
        <v>516</v>
      </c>
      <c r="AB683" t="n">
        <v>445</v>
      </c>
      <c r="AC683" t="n">
        <v>447</v>
      </c>
      <c r="AD683" t="n">
        <v>4</v>
      </c>
      <c r="AE683" t="n">
        <v>4</v>
      </c>
      <c r="AF683" t="n">
        <v>19</v>
      </c>
      <c r="AG683" t="n">
        <v>19</v>
      </c>
      <c r="AH683" t="n">
        <v>8</v>
      </c>
      <c r="AI683" t="n">
        <v>8</v>
      </c>
      <c r="AJ683" t="n">
        <v>3</v>
      </c>
      <c r="AK683" t="n">
        <v>3</v>
      </c>
      <c r="AL683" t="n">
        <v>12</v>
      </c>
      <c r="AM683" t="n">
        <v>12</v>
      </c>
      <c r="AN683" t="n">
        <v>3</v>
      </c>
      <c r="AO683" t="n">
        <v>3</v>
      </c>
      <c r="AP683" t="n">
        <v>0</v>
      </c>
      <c r="AQ683" t="n">
        <v>0</v>
      </c>
      <c r="AR683" t="inlineStr">
        <is>
          <t>No</t>
        </is>
      </c>
      <c r="AS683" t="inlineStr">
        <is>
          <t>Yes</t>
        </is>
      </c>
      <c r="AT683">
        <f>HYPERLINK("http://catalog.hathitrust.org/Record/000086348","HathiTrust Record")</f>
        <v/>
      </c>
      <c r="AU683">
        <f>HYPERLINK("https://creighton-primo.hosted.exlibrisgroup.com/primo-explore/search?tab=default_tab&amp;search_scope=EVERYTHING&amp;vid=01CRU&amp;lang=en_US&amp;offset=0&amp;query=any,contains,991005039639702656","Catalog Record")</f>
        <v/>
      </c>
      <c r="AV683">
        <f>HYPERLINK("http://www.worldcat.org/oclc/6788802","WorldCat Record")</f>
        <v/>
      </c>
      <c r="AW683" t="inlineStr">
        <is>
          <t>24374308:eng</t>
        </is>
      </c>
      <c r="AX683" t="inlineStr">
        <is>
          <t>6788802</t>
        </is>
      </c>
      <c r="AY683" t="inlineStr">
        <is>
          <t>991005039639702656</t>
        </is>
      </c>
      <c r="AZ683" t="inlineStr">
        <is>
          <t>991005039639702656</t>
        </is>
      </c>
      <c r="BA683" t="inlineStr">
        <is>
          <t>2263507520002656</t>
        </is>
      </c>
      <c r="BB683" t="inlineStr">
        <is>
          <t>BOOK</t>
        </is>
      </c>
      <c r="BD683" t="inlineStr">
        <is>
          <t>9780805764437</t>
        </is>
      </c>
      <c r="BE683" t="inlineStr">
        <is>
          <t>32285000676584</t>
        </is>
      </c>
      <c r="BF683" t="inlineStr">
        <is>
          <t>893594374</t>
        </is>
      </c>
    </row>
    <row r="684">
      <c r="A684" t="inlineStr">
        <is>
          <t>No</t>
        </is>
      </c>
      <c r="B684" t="inlineStr">
        <is>
          <t>CURAL</t>
        </is>
      </c>
      <c r="C684" t="inlineStr">
        <is>
          <t>SHELVES</t>
        </is>
      </c>
      <c r="D684" t="inlineStr">
        <is>
          <t>PQ6623.A3 H8</t>
        </is>
      </c>
      <c r="E684" t="inlineStr">
        <is>
          <t>0                      PQ 6623000A  3                  H  8</t>
        </is>
      </c>
      <c r="F684" t="inlineStr">
        <is>
          <t>Humor y pensamiento de Antonio Machado en la metafísica poética [por] Pablo de A. Cobos.</t>
        </is>
      </c>
      <c r="H684" t="inlineStr">
        <is>
          <t>No</t>
        </is>
      </c>
      <c r="I684" t="inlineStr">
        <is>
          <t>1</t>
        </is>
      </c>
      <c r="J684" t="inlineStr">
        <is>
          <t>No</t>
        </is>
      </c>
      <c r="K684" t="inlineStr">
        <is>
          <t>No</t>
        </is>
      </c>
      <c r="L684" t="inlineStr">
        <is>
          <t>0</t>
        </is>
      </c>
      <c r="M684" t="inlineStr">
        <is>
          <t>Andrés Cobos, Pablo de, 1899-1973.</t>
        </is>
      </c>
      <c r="N684" t="inlineStr">
        <is>
          <t>Madrid, Insula, 1963.</t>
        </is>
      </c>
      <c r="O684" t="inlineStr">
        <is>
          <t>1963</t>
        </is>
      </c>
      <c r="Q684" t="inlineStr">
        <is>
          <t>spa</t>
        </is>
      </c>
      <c r="R684" t="inlineStr">
        <is>
          <t xml:space="preserve">sp </t>
        </is>
      </c>
      <c r="T684" t="inlineStr">
        <is>
          <t xml:space="preserve">PQ </t>
        </is>
      </c>
      <c r="U684" t="n">
        <v>4</v>
      </c>
      <c r="V684" t="n">
        <v>4</v>
      </c>
      <c r="W684" t="inlineStr">
        <is>
          <t>2004-04-15</t>
        </is>
      </c>
      <c r="X684" t="inlineStr">
        <is>
          <t>2004-04-15</t>
        </is>
      </c>
      <c r="Y684" t="inlineStr">
        <is>
          <t>1997-08-27</t>
        </is>
      </c>
      <c r="Z684" t="inlineStr">
        <is>
          <t>1997-08-27</t>
        </is>
      </c>
      <c r="AA684" t="n">
        <v>246</v>
      </c>
      <c r="AB684" t="n">
        <v>206</v>
      </c>
      <c r="AC684" t="n">
        <v>213</v>
      </c>
      <c r="AD684" t="n">
        <v>2</v>
      </c>
      <c r="AE684" t="n">
        <v>2</v>
      </c>
      <c r="AF684" t="n">
        <v>7</v>
      </c>
      <c r="AG684" t="n">
        <v>7</v>
      </c>
      <c r="AH684" t="n">
        <v>1</v>
      </c>
      <c r="AI684" t="n">
        <v>1</v>
      </c>
      <c r="AJ684" t="n">
        <v>2</v>
      </c>
      <c r="AK684" t="n">
        <v>2</v>
      </c>
      <c r="AL684" t="n">
        <v>5</v>
      </c>
      <c r="AM684" t="n">
        <v>5</v>
      </c>
      <c r="AN684" t="n">
        <v>1</v>
      </c>
      <c r="AO684" t="n">
        <v>1</v>
      </c>
      <c r="AP684" t="n">
        <v>0</v>
      </c>
      <c r="AQ684" t="n">
        <v>0</v>
      </c>
      <c r="AR684" t="inlineStr">
        <is>
          <t>No</t>
        </is>
      </c>
      <c r="AS684" t="inlineStr">
        <is>
          <t>Yes</t>
        </is>
      </c>
      <c r="AT684">
        <f>HYPERLINK("http://catalog.hathitrust.org/Record/001052365","HathiTrust Record")</f>
        <v/>
      </c>
      <c r="AU684">
        <f>HYPERLINK("https://creighton-primo.hosted.exlibrisgroup.com/primo-explore/search?tab=default_tab&amp;search_scope=EVERYTHING&amp;vid=01CRU&amp;lang=en_US&amp;offset=0&amp;query=any,contains,991001096079702656","Catalog Record")</f>
        <v/>
      </c>
      <c r="AV684">
        <f>HYPERLINK("http://www.worldcat.org/oclc/183308","WorldCat Record")</f>
        <v/>
      </c>
      <c r="AW684" t="inlineStr">
        <is>
          <t>1328671:spa</t>
        </is>
      </c>
      <c r="AX684" t="inlineStr">
        <is>
          <t>183308</t>
        </is>
      </c>
      <c r="AY684" t="inlineStr">
        <is>
          <t>991001096079702656</t>
        </is>
      </c>
      <c r="AZ684" t="inlineStr">
        <is>
          <t>991001096079702656</t>
        </is>
      </c>
      <c r="BA684" t="inlineStr">
        <is>
          <t>2267685960002656</t>
        </is>
      </c>
      <c r="BB684" t="inlineStr">
        <is>
          <t>BOOK</t>
        </is>
      </c>
      <c r="BE684" t="inlineStr">
        <is>
          <t>32285002943594</t>
        </is>
      </c>
      <c r="BF684" t="inlineStr">
        <is>
          <t>893413949</t>
        </is>
      </c>
    </row>
    <row r="685">
      <c r="A685" t="inlineStr">
        <is>
          <t>No</t>
        </is>
      </c>
      <c r="B685" t="inlineStr">
        <is>
          <t>CURAL</t>
        </is>
      </c>
      <c r="C685" t="inlineStr">
        <is>
          <t>SHELVES</t>
        </is>
      </c>
      <c r="D685" t="inlineStr">
        <is>
          <t>PQ6623.A3 Z785 1981</t>
        </is>
      </c>
      <c r="E685" t="inlineStr">
        <is>
          <t>0                      PQ 6623000A  3                  Z  785         1981</t>
        </is>
      </c>
      <c r="F685" t="inlineStr">
        <is>
          <t>Una España joven en la poesía de Antonio Machado / Michael P. Predmore.</t>
        </is>
      </c>
      <c r="H685" t="inlineStr">
        <is>
          <t>No</t>
        </is>
      </c>
      <c r="I685" t="inlineStr">
        <is>
          <t>1</t>
        </is>
      </c>
      <c r="J685" t="inlineStr">
        <is>
          <t>No</t>
        </is>
      </c>
      <c r="K685" t="inlineStr">
        <is>
          <t>No</t>
        </is>
      </c>
      <c r="L685" t="inlineStr">
        <is>
          <t>0</t>
        </is>
      </c>
      <c r="M685" t="inlineStr">
        <is>
          <t>Predmore, Michael P.</t>
        </is>
      </c>
      <c r="N685" t="inlineStr">
        <is>
          <t>Madrid : Insula, 1981.</t>
        </is>
      </c>
      <c r="O685" t="inlineStr">
        <is>
          <t>1981</t>
        </is>
      </c>
      <c r="Q685" t="inlineStr">
        <is>
          <t>spa</t>
        </is>
      </c>
      <c r="R685" t="inlineStr">
        <is>
          <t xml:space="preserve">sp </t>
        </is>
      </c>
      <c r="T685" t="inlineStr">
        <is>
          <t xml:space="preserve">PQ </t>
        </is>
      </c>
      <c r="U685" t="n">
        <v>1</v>
      </c>
      <c r="V685" t="n">
        <v>1</v>
      </c>
      <c r="W685" t="inlineStr">
        <is>
          <t>2005-03-22</t>
        </is>
      </c>
      <c r="X685" t="inlineStr">
        <is>
          <t>2005-03-22</t>
        </is>
      </c>
      <c r="Y685" t="inlineStr">
        <is>
          <t>2005-03-22</t>
        </is>
      </c>
      <c r="Z685" t="inlineStr">
        <is>
          <t>2005-03-22</t>
        </is>
      </c>
      <c r="AA685" t="n">
        <v>165</v>
      </c>
      <c r="AB685" t="n">
        <v>115</v>
      </c>
      <c r="AC685" t="n">
        <v>127</v>
      </c>
      <c r="AD685" t="n">
        <v>2</v>
      </c>
      <c r="AE685" t="n">
        <v>2</v>
      </c>
      <c r="AF685" t="n">
        <v>3</v>
      </c>
      <c r="AG685" t="n">
        <v>4</v>
      </c>
      <c r="AH685" t="n">
        <v>1</v>
      </c>
      <c r="AI685" t="n">
        <v>1</v>
      </c>
      <c r="AJ685" t="n">
        <v>1</v>
      </c>
      <c r="AK685" t="n">
        <v>1</v>
      </c>
      <c r="AL685" t="n">
        <v>2</v>
      </c>
      <c r="AM685" t="n">
        <v>3</v>
      </c>
      <c r="AN685" t="n">
        <v>1</v>
      </c>
      <c r="AO685" t="n">
        <v>1</v>
      </c>
      <c r="AP685" t="n">
        <v>0</v>
      </c>
      <c r="AQ685" t="n">
        <v>0</v>
      </c>
      <c r="AR685" t="inlineStr">
        <is>
          <t>No</t>
        </is>
      </c>
      <c r="AS685" t="inlineStr">
        <is>
          <t>Yes</t>
        </is>
      </c>
      <c r="AT685">
        <f>HYPERLINK("http://catalog.hathitrust.org/Record/000145774","HathiTrust Record")</f>
        <v/>
      </c>
      <c r="AU685">
        <f>HYPERLINK("https://creighton-primo.hosted.exlibrisgroup.com/primo-explore/search?tab=default_tab&amp;search_scope=EVERYTHING&amp;vid=01CRU&amp;lang=en_US&amp;offset=0&amp;query=any,contains,991004508259702656","Catalog Record")</f>
        <v/>
      </c>
      <c r="AV685">
        <f>HYPERLINK("http://www.worldcat.org/oclc/8473527","WorldCat Record")</f>
        <v/>
      </c>
      <c r="AW685" t="inlineStr">
        <is>
          <t>348024376:spa</t>
        </is>
      </c>
      <c r="AX685" t="inlineStr">
        <is>
          <t>8473527</t>
        </is>
      </c>
      <c r="AY685" t="inlineStr">
        <is>
          <t>991004508259702656</t>
        </is>
      </c>
      <c r="AZ685" t="inlineStr">
        <is>
          <t>991004508259702656</t>
        </is>
      </c>
      <c r="BA685" t="inlineStr">
        <is>
          <t>2259419770002656</t>
        </is>
      </c>
      <c r="BB685" t="inlineStr">
        <is>
          <t>BOOK</t>
        </is>
      </c>
      <c r="BD685" t="inlineStr">
        <is>
          <t>9788471851390</t>
        </is>
      </c>
      <c r="BE685" t="inlineStr">
        <is>
          <t>32285005029607</t>
        </is>
      </c>
      <c r="BF685" t="inlineStr">
        <is>
          <t>893259798</t>
        </is>
      </c>
    </row>
    <row r="686">
      <c r="A686" t="inlineStr">
        <is>
          <t>No</t>
        </is>
      </c>
      <c r="B686" t="inlineStr">
        <is>
          <t>CURAL</t>
        </is>
      </c>
      <c r="C686" t="inlineStr">
        <is>
          <t>SHELVES</t>
        </is>
      </c>
      <c r="D686" t="inlineStr">
        <is>
          <t>PQ6623.A3 Z88 1986</t>
        </is>
      </c>
      <c r="E686" t="inlineStr">
        <is>
          <t>0                      PQ 6623000A  3                  Z  88          1986</t>
        </is>
      </c>
      <c r="F686" t="inlineStr">
        <is>
          <t>Prosa/poesia "La Tierra de Alvargonzalez" de Antonio Machado : estudio analítico-cuantitativo de las leyendas / Josep M. Sola-Solé.</t>
        </is>
      </c>
      <c r="H686" t="inlineStr">
        <is>
          <t>No</t>
        </is>
      </c>
      <c r="I686" t="inlineStr">
        <is>
          <t>1</t>
        </is>
      </c>
      <c r="J686" t="inlineStr">
        <is>
          <t>No</t>
        </is>
      </c>
      <c r="K686" t="inlineStr">
        <is>
          <t>No</t>
        </is>
      </c>
      <c r="L686" t="inlineStr">
        <is>
          <t>0</t>
        </is>
      </c>
      <c r="M686" t="inlineStr">
        <is>
          <t>Sola-Solé, Josep M. (Josep María), 1924-2003.</t>
        </is>
      </c>
      <c r="N686" t="inlineStr">
        <is>
          <t>Barcelona : Puvill Libros, 1986.</t>
        </is>
      </c>
      <c r="O686" t="inlineStr">
        <is>
          <t>1986</t>
        </is>
      </c>
      <c r="Q686" t="inlineStr">
        <is>
          <t>spa</t>
        </is>
      </c>
      <c r="R686" t="inlineStr">
        <is>
          <t xml:space="preserve">sp </t>
        </is>
      </c>
      <c r="S686" t="inlineStr">
        <is>
          <t>Biblioteca universitaria Puvill. Ediciones analítico-cuantitativas ; 3</t>
        </is>
      </c>
      <c r="T686" t="inlineStr">
        <is>
          <t xml:space="preserve">PQ </t>
        </is>
      </c>
      <c r="U686" t="n">
        <v>2</v>
      </c>
      <c r="V686" t="n">
        <v>2</v>
      </c>
      <c r="W686" t="inlineStr">
        <is>
          <t>1999-02-27</t>
        </is>
      </c>
      <c r="X686" t="inlineStr">
        <is>
          <t>1999-02-27</t>
        </is>
      </c>
      <c r="Y686" t="inlineStr">
        <is>
          <t>1991-07-18</t>
        </is>
      </c>
      <c r="Z686" t="inlineStr">
        <is>
          <t>1991-07-18</t>
        </is>
      </c>
      <c r="AA686" t="n">
        <v>78</v>
      </c>
      <c r="AB686" t="n">
        <v>50</v>
      </c>
      <c r="AC686" t="n">
        <v>51</v>
      </c>
      <c r="AD686" t="n">
        <v>2</v>
      </c>
      <c r="AE686" t="n">
        <v>2</v>
      </c>
      <c r="AF686" t="n">
        <v>1</v>
      </c>
      <c r="AG686" t="n">
        <v>1</v>
      </c>
      <c r="AH686" t="n">
        <v>0</v>
      </c>
      <c r="AI686" t="n">
        <v>0</v>
      </c>
      <c r="AJ686" t="n">
        <v>0</v>
      </c>
      <c r="AK686" t="n">
        <v>0</v>
      </c>
      <c r="AL686" t="n">
        <v>0</v>
      </c>
      <c r="AM686" t="n">
        <v>0</v>
      </c>
      <c r="AN686" t="n">
        <v>1</v>
      </c>
      <c r="AO686" t="n">
        <v>1</v>
      </c>
      <c r="AP686" t="n">
        <v>0</v>
      </c>
      <c r="AQ686" t="n">
        <v>0</v>
      </c>
      <c r="AR686" t="inlineStr">
        <is>
          <t>No</t>
        </is>
      </c>
      <c r="AS686" t="inlineStr">
        <is>
          <t>Yes</t>
        </is>
      </c>
      <c r="AT686">
        <f>HYPERLINK("http://catalog.hathitrust.org/Record/000883433","HathiTrust Record")</f>
        <v/>
      </c>
      <c r="AU686">
        <f>HYPERLINK("https://creighton-primo.hosted.exlibrisgroup.com/primo-explore/search?tab=default_tab&amp;search_scope=EVERYTHING&amp;vid=01CRU&amp;lang=en_US&amp;offset=0&amp;query=any,contains,991001134579702656","Catalog Record")</f>
        <v/>
      </c>
      <c r="AV686">
        <f>HYPERLINK("http://www.worldcat.org/oclc/16703948","WorldCat Record")</f>
        <v/>
      </c>
      <c r="AW686" t="inlineStr">
        <is>
          <t>918873775:spa</t>
        </is>
      </c>
      <c r="AX686" t="inlineStr">
        <is>
          <t>16703948</t>
        </is>
      </c>
      <c r="AY686" t="inlineStr">
        <is>
          <t>991001134579702656</t>
        </is>
      </c>
      <c r="AZ686" t="inlineStr">
        <is>
          <t>991001134579702656</t>
        </is>
      </c>
      <c r="BA686" t="inlineStr">
        <is>
          <t>2256171960002656</t>
        </is>
      </c>
      <c r="BB686" t="inlineStr">
        <is>
          <t>BOOK</t>
        </is>
      </c>
      <c r="BD686" t="inlineStr">
        <is>
          <t>9788485202478</t>
        </is>
      </c>
      <c r="BE686" t="inlineStr">
        <is>
          <t>32285000676816</t>
        </is>
      </c>
      <c r="BF686" t="inlineStr">
        <is>
          <t>893413981</t>
        </is>
      </c>
    </row>
    <row r="687">
      <c r="A687" t="inlineStr">
        <is>
          <t>No</t>
        </is>
      </c>
      <c r="B687" t="inlineStr">
        <is>
          <t>CURAL</t>
        </is>
      </c>
      <c r="C687" t="inlineStr">
        <is>
          <t>SHELVES</t>
        </is>
      </c>
      <c r="D687" t="inlineStr">
        <is>
          <t>PQ6623.A34 D8</t>
        </is>
      </c>
      <c r="E687" t="inlineStr">
        <is>
          <t>0                      PQ 6623000A  34                 D  8</t>
        </is>
      </c>
      <c r="F687" t="inlineStr">
        <is>
          <t>La duquesa de Benamejí. La prima Fernanda. Juan de Mañara.</t>
        </is>
      </c>
      <c r="H687" t="inlineStr">
        <is>
          <t>No</t>
        </is>
      </c>
      <c r="I687" t="inlineStr">
        <is>
          <t>1</t>
        </is>
      </c>
      <c r="J687" t="inlineStr">
        <is>
          <t>No</t>
        </is>
      </c>
      <c r="K687" t="inlineStr">
        <is>
          <t>No</t>
        </is>
      </c>
      <c r="L687" t="inlineStr">
        <is>
          <t>0</t>
        </is>
      </c>
      <c r="M687" t="inlineStr">
        <is>
          <t>Machado, Manuel, 1874-1947.</t>
        </is>
      </c>
      <c r="N687" t="inlineStr">
        <is>
          <t>Buenos Aires, México, Espasa-Calpe argentina, s.a. [1942]</t>
        </is>
      </c>
      <c r="O687" t="inlineStr">
        <is>
          <t>1942</t>
        </is>
      </c>
      <c r="Q687" t="inlineStr">
        <is>
          <t>spa</t>
        </is>
      </c>
      <c r="R687" t="inlineStr">
        <is>
          <t xml:space="preserve">ag </t>
        </is>
      </c>
      <c r="S687" t="inlineStr">
        <is>
          <t>Colección Austral ; 260</t>
        </is>
      </c>
      <c r="T687" t="inlineStr">
        <is>
          <t xml:space="preserve">PQ </t>
        </is>
      </c>
      <c r="U687" t="n">
        <v>2</v>
      </c>
      <c r="V687" t="n">
        <v>2</v>
      </c>
      <c r="W687" t="inlineStr">
        <is>
          <t>1999-02-27</t>
        </is>
      </c>
      <c r="X687" t="inlineStr">
        <is>
          <t>1999-02-27</t>
        </is>
      </c>
      <c r="Y687" t="inlineStr">
        <is>
          <t>1997-08-27</t>
        </is>
      </c>
      <c r="Z687" t="inlineStr">
        <is>
          <t>1997-08-27</t>
        </is>
      </c>
      <c r="AA687" t="n">
        <v>67</v>
      </c>
      <c r="AB687" t="n">
        <v>57</v>
      </c>
      <c r="AC687" t="n">
        <v>167</v>
      </c>
      <c r="AD687" t="n">
        <v>1</v>
      </c>
      <c r="AE687" t="n">
        <v>2</v>
      </c>
      <c r="AF687" t="n">
        <v>3</v>
      </c>
      <c r="AG687" t="n">
        <v>10</v>
      </c>
      <c r="AH687" t="n">
        <v>1</v>
      </c>
      <c r="AI687" t="n">
        <v>3</v>
      </c>
      <c r="AJ687" t="n">
        <v>0</v>
      </c>
      <c r="AK687" t="n">
        <v>3</v>
      </c>
      <c r="AL687" t="n">
        <v>2</v>
      </c>
      <c r="AM687" t="n">
        <v>6</v>
      </c>
      <c r="AN687" t="n">
        <v>0</v>
      </c>
      <c r="AO687" t="n">
        <v>1</v>
      </c>
      <c r="AP687" t="n">
        <v>0</v>
      </c>
      <c r="AQ687" t="n">
        <v>0</v>
      </c>
      <c r="AR687" t="inlineStr">
        <is>
          <t>No</t>
        </is>
      </c>
      <c r="AS687" t="inlineStr">
        <is>
          <t>Yes</t>
        </is>
      </c>
      <c r="AT687">
        <f>HYPERLINK("http://catalog.hathitrust.org/Record/001052384","HathiTrust Record")</f>
        <v/>
      </c>
      <c r="AU687">
        <f>HYPERLINK("https://creighton-primo.hosted.exlibrisgroup.com/primo-explore/search?tab=default_tab&amp;search_scope=EVERYTHING&amp;vid=01CRU&amp;lang=en_US&amp;offset=0&amp;query=any,contains,991005062489702656","Catalog Record")</f>
        <v/>
      </c>
      <c r="AV687">
        <f>HYPERLINK("http://www.worldcat.org/oclc/6932297","WorldCat Record")</f>
        <v/>
      </c>
      <c r="AW687" t="inlineStr">
        <is>
          <t>21591625:spa</t>
        </is>
      </c>
      <c r="AX687" t="inlineStr">
        <is>
          <t>6932297</t>
        </is>
      </c>
      <c r="AY687" t="inlineStr">
        <is>
          <t>991005062489702656</t>
        </is>
      </c>
      <c r="AZ687" t="inlineStr">
        <is>
          <t>991005062489702656</t>
        </is>
      </c>
      <c r="BA687" t="inlineStr">
        <is>
          <t>2259341400002656</t>
        </is>
      </c>
      <c r="BB687" t="inlineStr">
        <is>
          <t>BOOK</t>
        </is>
      </c>
      <c r="BE687" t="inlineStr">
        <is>
          <t>32285002943628</t>
        </is>
      </c>
      <c r="BF687" t="inlineStr">
        <is>
          <t>893430779</t>
        </is>
      </c>
    </row>
    <row r="688">
      <c r="A688" t="inlineStr">
        <is>
          <t>No</t>
        </is>
      </c>
      <c r="B688" t="inlineStr">
        <is>
          <t>CURAL</t>
        </is>
      </c>
      <c r="C688" t="inlineStr">
        <is>
          <t>SHELVES</t>
        </is>
      </c>
      <c r="D688" t="inlineStr">
        <is>
          <t>PQ6623.A745 T4 1987</t>
        </is>
      </c>
      <c r="E688" t="inlineStr">
        <is>
          <t>0                      PQ 6623000A  745                T  4           1987</t>
        </is>
      </c>
      <c r="F688" t="inlineStr">
        <is>
          <t>Teniente Bravo / Juan Marsé.</t>
        </is>
      </c>
      <c r="H688" t="inlineStr">
        <is>
          <t>No</t>
        </is>
      </c>
      <c r="I688" t="inlineStr">
        <is>
          <t>1</t>
        </is>
      </c>
      <c r="J688" t="inlineStr">
        <is>
          <t>No</t>
        </is>
      </c>
      <c r="K688" t="inlineStr">
        <is>
          <t>No</t>
        </is>
      </c>
      <c r="L688" t="inlineStr">
        <is>
          <t>0</t>
        </is>
      </c>
      <c r="M688" t="inlineStr">
        <is>
          <t>Marsé, Juan, 1933-</t>
        </is>
      </c>
      <c r="N688" t="inlineStr">
        <is>
          <t>Barcelona : Seix Barral, 1987.</t>
        </is>
      </c>
      <c r="O688" t="inlineStr">
        <is>
          <t>1987</t>
        </is>
      </c>
      <c r="P688" t="inlineStr">
        <is>
          <t>1a ed.</t>
        </is>
      </c>
      <c r="Q688" t="inlineStr">
        <is>
          <t>spa</t>
        </is>
      </c>
      <c r="R688" t="inlineStr">
        <is>
          <t xml:space="preserve">sp </t>
        </is>
      </c>
      <c r="S688" t="inlineStr">
        <is>
          <t>Biblioteca breve</t>
        </is>
      </c>
      <c r="T688" t="inlineStr">
        <is>
          <t xml:space="preserve">PQ </t>
        </is>
      </c>
      <c r="U688" t="n">
        <v>1</v>
      </c>
      <c r="V688" t="n">
        <v>1</v>
      </c>
      <c r="W688" t="inlineStr">
        <is>
          <t>1992-03-17</t>
        </is>
      </c>
      <c r="X688" t="inlineStr">
        <is>
          <t>1992-03-17</t>
        </is>
      </c>
      <c r="Y688" t="inlineStr">
        <is>
          <t>1990-06-22</t>
        </is>
      </c>
      <c r="Z688" t="inlineStr">
        <is>
          <t>1990-06-22</t>
        </is>
      </c>
      <c r="AA688" t="n">
        <v>170</v>
      </c>
      <c r="AB688" t="n">
        <v>127</v>
      </c>
      <c r="AC688" t="n">
        <v>136</v>
      </c>
      <c r="AD688" t="n">
        <v>1</v>
      </c>
      <c r="AE688" t="n">
        <v>1</v>
      </c>
      <c r="AF688" t="n">
        <v>4</v>
      </c>
      <c r="AG688" t="n">
        <v>4</v>
      </c>
      <c r="AH688" t="n">
        <v>2</v>
      </c>
      <c r="AI688" t="n">
        <v>2</v>
      </c>
      <c r="AJ688" t="n">
        <v>3</v>
      </c>
      <c r="AK688" t="n">
        <v>3</v>
      </c>
      <c r="AL688" t="n">
        <v>1</v>
      </c>
      <c r="AM688" t="n">
        <v>1</v>
      </c>
      <c r="AN688" t="n">
        <v>0</v>
      </c>
      <c r="AO688" t="n">
        <v>0</v>
      </c>
      <c r="AP688" t="n">
        <v>0</v>
      </c>
      <c r="AQ688" t="n">
        <v>0</v>
      </c>
      <c r="AR688" t="inlineStr">
        <is>
          <t>No</t>
        </is>
      </c>
      <c r="AS688" t="inlineStr">
        <is>
          <t>Yes</t>
        </is>
      </c>
      <c r="AT688">
        <f>HYPERLINK("http://catalog.hathitrust.org/Record/000857104","HathiTrust Record")</f>
        <v/>
      </c>
      <c r="AU688">
        <f>HYPERLINK("https://creighton-primo.hosted.exlibrisgroup.com/primo-explore/search?tab=default_tab&amp;search_scope=EVERYTHING&amp;vid=01CRU&amp;lang=en_US&amp;offset=0&amp;query=any,contains,991001077159702656","Catalog Record")</f>
        <v/>
      </c>
      <c r="AV688">
        <f>HYPERLINK("http://www.worldcat.org/oclc/16074525","WorldCat Record")</f>
        <v/>
      </c>
      <c r="AW688" t="inlineStr">
        <is>
          <t>11373799:spa</t>
        </is>
      </c>
      <c r="AX688" t="inlineStr">
        <is>
          <t>16074525</t>
        </is>
      </c>
      <c r="AY688" t="inlineStr">
        <is>
          <t>991001077159702656</t>
        </is>
      </c>
      <c r="AZ688" t="inlineStr">
        <is>
          <t>991001077159702656</t>
        </is>
      </c>
      <c r="BA688" t="inlineStr">
        <is>
          <t>2257144350002656</t>
        </is>
      </c>
      <c r="BB688" t="inlineStr">
        <is>
          <t>BOOK</t>
        </is>
      </c>
      <c r="BD688" t="inlineStr">
        <is>
          <t>9788432205613</t>
        </is>
      </c>
      <c r="BE688" t="inlineStr">
        <is>
          <t>32285000179977</t>
        </is>
      </c>
      <c r="BF688" t="inlineStr">
        <is>
          <t>893596168</t>
        </is>
      </c>
    </row>
    <row r="689">
      <c r="A689" t="inlineStr">
        <is>
          <t>No</t>
        </is>
      </c>
      <c r="B689" t="inlineStr">
        <is>
          <t>CURAL</t>
        </is>
      </c>
      <c r="C689" t="inlineStr">
        <is>
          <t>SHELVES</t>
        </is>
      </c>
      <c r="D689" t="inlineStr">
        <is>
          <t>PQ6623.A7657 C8</t>
        </is>
      </c>
      <c r="E689" t="inlineStr">
        <is>
          <t>0                      PQ 6623000A  7657               C  8</t>
        </is>
      </c>
      <c r="F689" t="inlineStr">
        <is>
          <t>El cuarto de atrás / Carmen Martín Gaite.</t>
        </is>
      </c>
      <c r="H689" t="inlineStr">
        <is>
          <t>No</t>
        </is>
      </c>
      <c r="I689" t="inlineStr">
        <is>
          <t>1</t>
        </is>
      </c>
      <c r="J689" t="inlineStr">
        <is>
          <t>No</t>
        </is>
      </c>
      <c r="K689" t="inlineStr">
        <is>
          <t>No</t>
        </is>
      </c>
      <c r="L689" t="inlineStr">
        <is>
          <t>0</t>
        </is>
      </c>
      <c r="M689" t="inlineStr">
        <is>
          <t>Martín Gaite, Carmen.</t>
        </is>
      </c>
      <c r="N689" t="inlineStr">
        <is>
          <t>Barcelona : Ediciones Destino, 1978.</t>
        </is>
      </c>
      <c r="O689" t="inlineStr">
        <is>
          <t>1978</t>
        </is>
      </c>
      <c r="P689" t="inlineStr">
        <is>
          <t>1. ed.</t>
        </is>
      </c>
      <c r="Q689" t="inlineStr">
        <is>
          <t>spa</t>
        </is>
      </c>
      <c r="R689" t="inlineStr">
        <is>
          <t xml:space="preserve">sp </t>
        </is>
      </c>
      <c r="S689" t="inlineStr">
        <is>
          <t>Colección Ancora y delfín ; v. 530</t>
        </is>
      </c>
      <c r="T689" t="inlineStr">
        <is>
          <t xml:space="preserve">PQ </t>
        </is>
      </c>
      <c r="U689" t="n">
        <v>2</v>
      </c>
      <c r="V689" t="n">
        <v>2</v>
      </c>
      <c r="W689" t="inlineStr">
        <is>
          <t>2005-07-18</t>
        </is>
      </c>
      <c r="X689" t="inlineStr">
        <is>
          <t>2005-07-18</t>
        </is>
      </c>
      <c r="Y689" t="inlineStr">
        <is>
          <t>1994-11-07</t>
        </is>
      </c>
      <c r="Z689" t="inlineStr">
        <is>
          <t>1994-11-07</t>
        </is>
      </c>
      <c r="AA689" t="n">
        <v>194</v>
      </c>
      <c r="AB689" t="n">
        <v>135</v>
      </c>
      <c r="AC689" t="n">
        <v>604</v>
      </c>
      <c r="AD689" t="n">
        <v>1</v>
      </c>
      <c r="AE689" t="n">
        <v>5</v>
      </c>
      <c r="AF689" t="n">
        <v>5</v>
      </c>
      <c r="AG689" t="n">
        <v>33</v>
      </c>
      <c r="AH689" t="n">
        <v>4</v>
      </c>
      <c r="AI689" t="n">
        <v>16</v>
      </c>
      <c r="AJ689" t="n">
        <v>1</v>
      </c>
      <c r="AK689" t="n">
        <v>10</v>
      </c>
      <c r="AL689" t="n">
        <v>2</v>
      </c>
      <c r="AM689" t="n">
        <v>13</v>
      </c>
      <c r="AN689" t="n">
        <v>0</v>
      </c>
      <c r="AO689" t="n">
        <v>4</v>
      </c>
      <c r="AP689" t="n">
        <v>0</v>
      </c>
      <c r="AQ689" t="n">
        <v>0</v>
      </c>
      <c r="AR689" t="inlineStr">
        <is>
          <t>No</t>
        </is>
      </c>
      <c r="AS689" t="inlineStr">
        <is>
          <t>No</t>
        </is>
      </c>
      <c r="AU689">
        <f>HYPERLINK("https://creighton-primo.hosted.exlibrisgroup.com/primo-explore/search?tab=default_tab&amp;search_scope=EVERYTHING&amp;vid=01CRU&amp;lang=en_US&amp;offset=0&amp;query=any,contains,991004644269702656","Catalog Record")</f>
        <v/>
      </c>
      <c r="AV689">
        <f>HYPERLINK("http://www.worldcat.org/oclc/4486578","WorldCat Record")</f>
        <v/>
      </c>
      <c r="AW689" t="inlineStr">
        <is>
          <t>19976943:spa</t>
        </is>
      </c>
      <c r="AX689" t="inlineStr">
        <is>
          <t>4486578</t>
        </is>
      </c>
      <c r="AY689" t="inlineStr">
        <is>
          <t>991004644269702656</t>
        </is>
      </c>
      <c r="AZ689" t="inlineStr">
        <is>
          <t>991004644269702656</t>
        </is>
      </c>
      <c r="BA689" t="inlineStr">
        <is>
          <t>2265340960002656</t>
        </is>
      </c>
      <c r="BB689" t="inlineStr">
        <is>
          <t>BOOK</t>
        </is>
      </c>
      <c r="BD689" t="inlineStr">
        <is>
          <t>9788423309603</t>
        </is>
      </c>
      <c r="BE689" t="inlineStr">
        <is>
          <t>32285001964898</t>
        </is>
      </c>
      <c r="BF689" t="inlineStr">
        <is>
          <t>893888993</t>
        </is>
      </c>
    </row>
    <row r="690">
      <c r="A690" t="inlineStr">
        <is>
          <t>No</t>
        </is>
      </c>
      <c r="B690" t="inlineStr">
        <is>
          <t>CURAL</t>
        </is>
      </c>
      <c r="C690" t="inlineStr">
        <is>
          <t>SHELVES</t>
        </is>
      </c>
      <c r="D690" t="inlineStr">
        <is>
          <t>PQ6623.A816 Z597</t>
        </is>
      </c>
      <c r="E690" t="inlineStr">
        <is>
          <t>0                      PQ 6623000A  816                Z  597</t>
        </is>
      </c>
      <c r="F690" t="inlineStr">
        <is>
          <t>Azorín (José Martínez Ruiz) / by Kathleen M. Glenn.</t>
        </is>
      </c>
      <c r="H690" t="inlineStr">
        <is>
          <t>No</t>
        </is>
      </c>
      <c r="I690" t="inlineStr">
        <is>
          <t>1</t>
        </is>
      </c>
      <c r="J690" t="inlineStr">
        <is>
          <t>No</t>
        </is>
      </c>
      <c r="K690" t="inlineStr">
        <is>
          <t>No</t>
        </is>
      </c>
      <c r="L690" t="inlineStr">
        <is>
          <t>0</t>
        </is>
      </c>
      <c r="M690" t="inlineStr">
        <is>
          <t>Glenn, Kathleen Mary.</t>
        </is>
      </c>
      <c r="N690" t="inlineStr">
        <is>
          <t>Boston : Twayne Publishers, [1981]</t>
        </is>
      </c>
      <c r="O690" t="inlineStr">
        <is>
          <t>1981</t>
        </is>
      </c>
      <c r="Q690" t="inlineStr">
        <is>
          <t>eng</t>
        </is>
      </c>
      <c r="R690" t="inlineStr">
        <is>
          <t>mau</t>
        </is>
      </c>
      <c r="S690" t="inlineStr">
        <is>
          <t>Twayne's world authors series ; TWAS 604 : Spain</t>
        </is>
      </c>
      <c r="T690" t="inlineStr">
        <is>
          <t xml:space="preserve">PQ </t>
        </is>
      </c>
      <c r="U690" t="n">
        <v>1</v>
      </c>
      <c r="V690" t="n">
        <v>1</v>
      </c>
      <c r="W690" t="inlineStr">
        <is>
          <t>1992-10-20</t>
        </is>
      </c>
      <c r="X690" t="inlineStr">
        <is>
          <t>1992-10-20</t>
        </is>
      </c>
      <c r="Y690" t="inlineStr">
        <is>
          <t>1991-07-18</t>
        </is>
      </c>
      <c r="Z690" t="inlineStr">
        <is>
          <t>1991-07-18</t>
        </is>
      </c>
      <c r="AA690" t="n">
        <v>526</v>
      </c>
      <c r="AB690" t="n">
        <v>465</v>
      </c>
      <c r="AC690" t="n">
        <v>472</v>
      </c>
      <c r="AD690" t="n">
        <v>4</v>
      </c>
      <c r="AE690" t="n">
        <v>4</v>
      </c>
      <c r="AF690" t="n">
        <v>19</v>
      </c>
      <c r="AG690" t="n">
        <v>19</v>
      </c>
      <c r="AH690" t="n">
        <v>9</v>
      </c>
      <c r="AI690" t="n">
        <v>9</v>
      </c>
      <c r="AJ690" t="n">
        <v>3</v>
      </c>
      <c r="AK690" t="n">
        <v>3</v>
      </c>
      <c r="AL690" t="n">
        <v>10</v>
      </c>
      <c r="AM690" t="n">
        <v>10</v>
      </c>
      <c r="AN690" t="n">
        <v>3</v>
      </c>
      <c r="AO690" t="n">
        <v>3</v>
      </c>
      <c r="AP690" t="n">
        <v>0</v>
      </c>
      <c r="AQ690" t="n">
        <v>0</v>
      </c>
      <c r="AR690" t="inlineStr">
        <is>
          <t>No</t>
        </is>
      </c>
      <c r="AS690" t="inlineStr">
        <is>
          <t>Yes</t>
        </is>
      </c>
      <c r="AT690">
        <f>HYPERLINK("http://catalog.hathitrust.org/Record/000730075","HathiTrust Record")</f>
        <v/>
      </c>
      <c r="AU690">
        <f>HYPERLINK("https://creighton-primo.hosted.exlibrisgroup.com/primo-explore/search?tab=default_tab&amp;search_scope=EVERYTHING&amp;vid=01CRU&amp;lang=en_US&amp;offset=0&amp;query=any,contains,991005037029702656","Catalog Record")</f>
        <v/>
      </c>
      <c r="AV690">
        <f>HYPERLINK("http://www.worldcat.org/oclc/6762446","WorldCat Record")</f>
        <v/>
      </c>
      <c r="AW690" t="inlineStr">
        <is>
          <t>461497:eng</t>
        </is>
      </c>
      <c r="AX690" t="inlineStr">
        <is>
          <t>6762446</t>
        </is>
      </c>
      <c r="AY690" t="inlineStr">
        <is>
          <t>991005037029702656</t>
        </is>
      </c>
      <c r="AZ690" t="inlineStr">
        <is>
          <t>991005037029702656</t>
        </is>
      </c>
      <c r="BA690" t="inlineStr">
        <is>
          <t>2262939110002656</t>
        </is>
      </c>
      <c r="BB690" t="inlineStr">
        <is>
          <t>BOOK</t>
        </is>
      </c>
      <c r="BD690" t="inlineStr">
        <is>
          <t>9780805764468</t>
        </is>
      </c>
      <c r="BE690" t="inlineStr">
        <is>
          <t>32285000676923</t>
        </is>
      </c>
      <c r="BF690" t="inlineStr">
        <is>
          <t>893319924</t>
        </is>
      </c>
    </row>
    <row r="691">
      <c r="A691" t="inlineStr">
        <is>
          <t>No</t>
        </is>
      </c>
      <c r="B691" t="inlineStr">
        <is>
          <t>CURAL</t>
        </is>
      </c>
      <c r="C691" t="inlineStr">
        <is>
          <t>SHELVES</t>
        </is>
      </c>
      <c r="D691" t="inlineStr">
        <is>
          <t>PQ6623.A816 Z63</t>
        </is>
      </c>
      <c r="E691" t="inlineStr">
        <is>
          <t>0                      PQ 6623000A  816                Z  63</t>
        </is>
      </c>
      <c r="F691" t="inlineStr">
        <is>
          <t>Homenaje a Azorín / edited by Carlos Mellizo.</t>
        </is>
      </c>
      <c r="H691" t="inlineStr">
        <is>
          <t>No</t>
        </is>
      </c>
      <c r="I691" t="inlineStr">
        <is>
          <t>1</t>
        </is>
      </c>
      <c r="J691" t="inlineStr">
        <is>
          <t>No</t>
        </is>
      </c>
      <c r="K691" t="inlineStr">
        <is>
          <t>No</t>
        </is>
      </c>
      <c r="L691" t="inlineStr">
        <is>
          <t>0</t>
        </is>
      </c>
      <c r="N691" t="inlineStr">
        <is>
          <t>[Laramie] : University of Wyoming, Dept. of Modern and Classical Languages, 1973.</t>
        </is>
      </c>
      <c r="O691" t="inlineStr">
        <is>
          <t>1973</t>
        </is>
      </c>
      <c r="Q691" t="inlineStr">
        <is>
          <t>spa</t>
        </is>
      </c>
      <c r="R691" t="inlineStr">
        <is>
          <t>wyu</t>
        </is>
      </c>
      <c r="T691" t="inlineStr">
        <is>
          <t xml:space="preserve">PQ </t>
        </is>
      </c>
      <c r="U691" t="n">
        <v>1</v>
      </c>
      <c r="V691" t="n">
        <v>1</v>
      </c>
      <c r="W691" t="inlineStr">
        <is>
          <t>1992-11-12</t>
        </is>
      </c>
      <c r="X691" t="inlineStr">
        <is>
          <t>1992-11-12</t>
        </is>
      </c>
      <c r="Y691" t="inlineStr">
        <is>
          <t>1992-11-12</t>
        </is>
      </c>
      <c r="Z691" t="inlineStr">
        <is>
          <t>1992-11-12</t>
        </is>
      </c>
      <c r="AA691" t="n">
        <v>537</v>
      </c>
      <c r="AB691" t="n">
        <v>515</v>
      </c>
      <c r="AC691" t="n">
        <v>519</v>
      </c>
      <c r="AD691" t="n">
        <v>2</v>
      </c>
      <c r="AE691" t="n">
        <v>2</v>
      </c>
      <c r="AF691" t="n">
        <v>24</v>
      </c>
      <c r="AG691" t="n">
        <v>24</v>
      </c>
      <c r="AH691" t="n">
        <v>7</v>
      </c>
      <c r="AI691" t="n">
        <v>7</v>
      </c>
      <c r="AJ691" t="n">
        <v>7</v>
      </c>
      <c r="AK691" t="n">
        <v>7</v>
      </c>
      <c r="AL691" t="n">
        <v>14</v>
      </c>
      <c r="AM691" t="n">
        <v>14</v>
      </c>
      <c r="AN691" t="n">
        <v>1</v>
      </c>
      <c r="AO691" t="n">
        <v>1</v>
      </c>
      <c r="AP691" t="n">
        <v>0</v>
      </c>
      <c r="AQ691" t="n">
        <v>0</v>
      </c>
      <c r="AR691" t="inlineStr">
        <is>
          <t>No</t>
        </is>
      </c>
      <c r="AS691" t="inlineStr">
        <is>
          <t>Yes</t>
        </is>
      </c>
      <c r="AT691">
        <f>HYPERLINK("http://catalog.hathitrust.org/Record/001052594","HathiTrust Record")</f>
        <v/>
      </c>
      <c r="AU691">
        <f>HYPERLINK("https://creighton-primo.hosted.exlibrisgroup.com/primo-explore/search?tab=default_tab&amp;search_scope=EVERYTHING&amp;vid=01CRU&amp;lang=en_US&amp;offset=0&amp;query=any,contains,991003354649702656","Catalog Record")</f>
        <v/>
      </c>
      <c r="AV691">
        <f>HYPERLINK("http://www.worldcat.org/oclc/887639","WorldCat Record")</f>
        <v/>
      </c>
      <c r="AW691" t="inlineStr">
        <is>
          <t>5091271087:spa</t>
        </is>
      </c>
      <c r="AX691" t="inlineStr">
        <is>
          <t>887639</t>
        </is>
      </c>
      <c r="AY691" t="inlineStr">
        <is>
          <t>991003354649702656</t>
        </is>
      </c>
      <c r="AZ691" t="inlineStr">
        <is>
          <t>991003354649702656</t>
        </is>
      </c>
      <c r="BA691" t="inlineStr">
        <is>
          <t>2257840670002656</t>
        </is>
      </c>
      <c r="BB691" t="inlineStr">
        <is>
          <t>BOOK</t>
        </is>
      </c>
      <c r="BE691" t="inlineStr">
        <is>
          <t>32285001363117</t>
        </is>
      </c>
      <c r="BF691" t="inlineStr">
        <is>
          <t>893899904</t>
        </is>
      </c>
    </row>
    <row r="692">
      <c r="A692" t="inlineStr">
        <is>
          <t>No</t>
        </is>
      </c>
      <c r="B692" t="inlineStr">
        <is>
          <t>CURAL</t>
        </is>
      </c>
      <c r="C692" t="inlineStr">
        <is>
          <t>SHELVES</t>
        </is>
      </c>
      <c r="D692" t="inlineStr">
        <is>
          <t>PQ6623.A816 Z88 1971</t>
        </is>
      </c>
      <c r="E692" t="inlineStr">
        <is>
          <t>0                      PQ 6623000A  816                Z  88          1971</t>
        </is>
      </c>
      <c r="F692" t="inlineStr">
        <is>
          <t>Azorain / Jose Ma. Valverde.</t>
        </is>
      </c>
      <c r="H692" t="inlineStr">
        <is>
          <t>No</t>
        </is>
      </c>
      <c r="I692" t="inlineStr">
        <is>
          <t>1</t>
        </is>
      </c>
      <c r="J692" t="inlineStr">
        <is>
          <t>No</t>
        </is>
      </c>
      <c r="K692" t="inlineStr">
        <is>
          <t>No</t>
        </is>
      </c>
      <c r="L692" t="inlineStr">
        <is>
          <t>0</t>
        </is>
      </c>
      <c r="M692" t="inlineStr">
        <is>
          <t>Valverde, José María, 1926-</t>
        </is>
      </c>
      <c r="N692" t="inlineStr">
        <is>
          <t>Barcelona : Planeta, [1971]</t>
        </is>
      </c>
      <c r="O692" t="inlineStr">
        <is>
          <t>1971</t>
        </is>
      </c>
      <c r="P692" t="inlineStr">
        <is>
          <t>[1st ed.].</t>
        </is>
      </c>
      <c r="Q692" t="inlineStr">
        <is>
          <t>spa</t>
        </is>
      </c>
      <c r="R692" t="inlineStr">
        <is>
          <t xml:space="preserve">sp </t>
        </is>
      </c>
      <c r="S692" t="inlineStr">
        <is>
          <t>Ensayos Planeta de lingeuistica y craitica literaria</t>
        </is>
      </c>
      <c r="T692" t="inlineStr">
        <is>
          <t xml:space="preserve">PQ </t>
        </is>
      </c>
      <c r="U692" t="n">
        <v>1</v>
      </c>
      <c r="V692" t="n">
        <v>1</v>
      </c>
      <c r="W692" t="inlineStr">
        <is>
          <t>2004-08-02</t>
        </is>
      </c>
      <c r="X692" t="inlineStr">
        <is>
          <t>2004-08-02</t>
        </is>
      </c>
      <c r="Y692" t="inlineStr">
        <is>
          <t>2004-08-02</t>
        </is>
      </c>
      <c r="Z692" t="inlineStr">
        <is>
          <t>2004-08-02</t>
        </is>
      </c>
      <c r="AA692" t="n">
        <v>177</v>
      </c>
      <c r="AB692" t="n">
        <v>128</v>
      </c>
      <c r="AC692" t="n">
        <v>136</v>
      </c>
      <c r="AD692" t="n">
        <v>2</v>
      </c>
      <c r="AE692" t="n">
        <v>2</v>
      </c>
      <c r="AF692" t="n">
        <v>6</v>
      </c>
      <c r="AG692" t="n">
        <v>6</v>
      </c>
      <c r="AH692" t="n">
        <v>0</v>
      </c>
      <c r="AI692" t="n">
        <v>0</v>
      </c>
      <c r="AJ692" t="n">
        <v>2</v>
      </c>
      <c r="AK692" t="n">
        <v>2</v>
      </c>
      <c r="AL692" t="n">
        <v>3</v>
      </c>
      <c r="AM692" t="n">
        <v>3</v>
      </c>
      <c r="AN692" t="n">
        <v>1</v>
      </c>
      <c r="AO692" t="n">
        <v>1</v>
      </c>
      <c r="AP692" t="n">
        <v>0</v>
      </c>
      <c r="AQ692" t="n">
        <v>0</v>
      </c>
      <c r="AR692" t="inlineStr">
        <is>
          <t>No</t>
        </is>
      </c>
      <c r="AS692" t="inlineStr">
        <is>
          <t>Yes</t>
        </is>
      </c>
      <c r="AT692">
        <f>HYPERLINK("http://catalog.hathitrust.org/Record/006711717","HathiTrust Record")</f>
        <v/>
      </c>
      <c r="AU692">
        <f>HYPERLINK("https://creighton-primo.hosted.exlibrisgroup.com/primo-explore/search?tab=default_tab&amp;search_scope=EVERYTHING&amp;vid=01CRU&amp;lang=en_US&amp;offset=0&amp;query=any,contains,991004332999702656","Catalog Record")</f>
        <v/>
      </c>
      <c r="AV692">
        <f>HYPERLINK("http://www.worldcat.org/oclc/889929","WorldCat Record")</f>
        <v/>
      </c>
      <c r="AW692" t="inlineStr">
        <is>
          <t>1871970:spa</t>
        </is>
      </c>
      <c r="AX692" t="inlineStr">
        <is>
          <t>889929</t>
        </is>
      </c>
      <c r="AY692" t="inlineStr">
        <is>
          <t>991004332999702656</t>
        </is>
      </c>
      <c r="AZ692" t="inlineStr">
        <is>
          <t>991004332999702656</t>
        </is>
      </c>
      <c r="BA692" t="inlineStr">
        <is>
          <t>2255224870002656</t>
        </is>
      </c>
      <c r="BB692" t="inlineStr">
        <is>
          <t>BOOK</t>
        </is>
      </c>
      <c r="BE692" t="inlineStr">
        <is>
          <t>32285004925300</t>
        </is>
      </c>
      <c r="BF692" t="inlineStr">
        <is>
          <t>893901123</t>
        </is>
      </c>
    </row>
    <row r="693">
      <c r="A693" t="inlineStr">
        <is>
          <t>No</t>
        </is>
      </c>
      <c r="B693" t="inlineStr">
        <is>
          <t>CURAL</t>
        </is>
      </c>
      <c r="C693" t="inlineStr">
        <is>
          <t>SHELVES</t>
        </is>
      </c>
      <c r="D693" t="inlineStr">
        <is>
          <t>PQ6623.U34 Z9</t>
        </is>
      </c>
      <c r="E693" t="inlineStr">
        <is>
          <t>0                      PQ 6623000U  34                 Z  9</t>
        </is>
      </c>
      <c r="F693" t="inlineStr">
        <is>
          <t>Gabriel Celaya / by Sharon Keefe Ugalde.</t>
        </is>
      </c>
      <c r="H693" t="inlineStr">
        <is>
          <t>No</t>
        </is>
      </c>
      <c r="I693" t="inlineStr">
        <is>
          <t>1</t>
        </is>
      </c>
      <c r="J693" t="inlineStr">
        <is>
          <t>No</t>
        </is>
      </c>
      <c r="K693" t="inlineStr">
        <is>
          <t>No</t>
        </is>
      </c>
      <c r="L693" t="inlineStr">
        <is>
          <t>0</t>
        </is>
      </c>
      <c r="M693" t="inlineStr">
        <is>
          <t>Ugalde, Sharon Keefe.</t>
        </is>
      </c>
      <c r="N693" t="inlineStr">
        <is>
          <t>Boston : Twayne Publishers, c1978.</t>
        </is>
      </c>
      <c r="O693" t="inlineStr">
        <is>
          <t>1978</t>
        </is>
      </c>
      <c r="Q693" t="inlineStr">
        <is>
          <t>eng</t>
        </is>
      </c>
      <c r="R693" t="inlineStr">
        <is>
          <t>mau</t>
        </is>
      </c>
      <c r="S693" t="inlineStr">
        <is>
          <t>Twayne's world authors series ; TWAS 483 : Spain</t>
        </is>
      </c>
      <c r="T693" t="inlineStr">
        <is>
          <t xml:space="preserve">PQ </t>
        </is>
      </c>
      <c r="U693" t="n">
        <v>2</v>
      </c>
      <c r="V693" t="n">
        <v>2</v>
      </c>
      <c r="W693" t="inlineStr">
        <is>
          <t>1999-03-14</t>
        </is>
      </c>
      <c r="X693" t="inlineStr">
        <is>
          <t>1999-03-14</t>
        </is>
      </c>
      <c r="Y693" t="inlineStr">
        <is>
          <t>1991-07-18</t>
        </is>
      </c>
      <c r="Z693" t="inlineStr">
        <is>
          <t>1991-07-18</t>
        </is>
      </c>
      <c r="AA693" t="n">
        <v>470</v>
      </c>
      <c r="AB693" t="n">
        <v>412</v>
      </c>
      <c r="AC693" t="n">
        <v>419</v>
      </c>
      <c r="AD693" t="n">
        <v>3</v>
      </c>
      <c r="AE693" t="n">
        <v>3</v>
      </c>
      <c r="AF693" t="n">
        <v>24</v>
      </c>
      <c r="AG693" t="n">
        <v>24</v>
      </c>
      <c r="AH693" t="n">
        <v>8</v>
      </c>
      <c r="AI693" t="n">
        <v>8</v>
      </c>
      <c r="AJ693" t="n">
        <v>7</v>
      </c>
      <c r="AK693" t="n">
        <v>7</v>
      </c>
      <c r="AL693" t="n">
        <v>15</v>
      </c>
      <c r="AM693" t="n">
        <v>15</v>
      </c>
      <c r="AN693" t="n">
        <v>2</v>
      </c>
      <c r="AO693" t="n">
        <v>2</v>
      </c>
      <c r="AP693" t="n">
        <v>0</v>
      </c>
      <c r="AQ693" t="n">
        <v>0</v>
      </c>
      <c r="AR693" t="inlineStr">
        <is>
          <t>No</t>
        </is>
      </c>
      <c r="AS693" t="inlineStr">
        <is>
          <t>Yes</t>
        </is>
      </c>
      <c r="AT693">
        <f>HYPERLINK("http://catalog.hathitrust.org/Record/000088636","HathiTrust Record")</f>
        <v/>
      </c>
      <c r="AU693">
        <f>HYPERLINK("https://creighton-primo.hosted.exlibrisgroup.com/primo-explore/search?tab=default_tab&amp;search_scope=EVERYTHING&amp;vid=01CRU&amp;lang=en_US&amp;offset=0&amp;query=any,contains,991004453689702656","Catalog Record")</f>
        <v/>
      </c>
      <c r="AV693">
        <f>HYPERLINK("http://www.worldcat.org/oclc/3516830","WorldCat Record")</f>
        <v/>
      </c>
      <c r="AW693" t="inlineStr">
        <is>
          <t>10227689648:eng</t>
        </is>
      </c>
      <c r="AX693" t="inlineStr">
        <is>
          <t>3516830</t>
        </is>
      </c>
      <c r="AY693" t="inlineStr">
        <is>
          <t>991004453689702656</t>
        </is>
      </c>
      <c r="AZ693" t="inlineStr">
        <is>
          <t>991004453689702656</t>
        </is>
      </c>
      <c r="BA693" t="inlineStr">
        <is>
          <t>2272369590002656</t>
        </is>
      </c>
      <c r="BB693" t="inlineStr">
        <is>
          <t>BOOK</t>
        </is>
      </c>
      <c r="BD693" t="inlineStr">
        <is>
          <t>9780805763249</t>
        </is>
      </c>
      <c r="BE693" t="inlineStr">
        <is>
          <t>32285000677012</t>
        </is>
      </c>
      <c r="BF693" t="inlineStr">
        <is>
          <t>893800983</t>
        </is>
      </c>
    </row>
    <row r="694">
      <c r="A694" t="inlineStr">
        <is>
          <t>No</t>
        </is>
      </c>
      <c r="B694" t="inlineStr">
        <is>
          <t>CURAL</t>
        </is>
      </c>
      <c r="C694" t="inlineStr">
        <is>
          <t>SHELVES</t>
        </is>
      </c>
      <c r="D694" t="inlineStr">
        <is>
          <t>PQ6627.R8 M4 1970</t>
        </is>
      </c>
      <c r="E694" t="inlineStr">
        <is>
          <t>0                      PQ 6627000R  8                  M  4           1970</t>
        </is>
      </c>
      <c r="F694" t="inlineStr">
        <is>
          <t>Meditaciones del Quijote : e Ideas sobre la novela.</t>
        </is>
      </c>
      <c r="H694" t="inlineStr">
        <is>
          <t>No</t>
        </is>
      </c>
      <c r="I694" t="inlineStr">
        <is>
          <t>1</t>
        </is>
      </c>
      <c r="J694" t="inlineStr">
        <is>
          <t>No</t>
        </is>
      </c>
      <c r="K694" t="inlineStr">
        <is>
          <t>No</t>
        </is>
      </c>
      <c r="L694" t="inlineStr">
        <is>
          <t>0</t>
        </is>
      </c>
      <c r="M694" t="inlineStr">
        <is>
          <t>Ortega y Gasset, José, 1883-1955.</t>
        </is>
      </c>
      <c r="N694" t="inlineStr">
        <is>
          <t>Madrid, Revista de Occidente [1970]</t>
        </is>
      </c>
      <c r="O694" t="inlineStr">
        <is>
          <t>1970</t>
        </is>
      </c>
      <c r="P694" t="inlineStr">
        <is>
          <t>8. ed. en castellano.</t>
        </is>
      </c>
      <c r="Q694" t="inlineStr">
        <is>
          <t>spa</t>
        </is>
      </c>
      <c r="R694" t="inlineStr">
        <is>
          <t xml:space="preserve">sp </t>
        </is>
      </c>
      <c r="S694" t="inlineStr">
        <is>
          <t>Colección El arquero</t>
        </is>
      </c>
      <c r="T694" t="inlineStr">
        <is>
          <t xml:space="preserve">PQ </t>
        </is>
      </c>
      <c r="U694" t="n">
        <v>1</v>
      </c>
      <c r="V694" t="n">
        <v>1</v>
      </c>
      <c r="W694" t="inlineStr">
        <is>
          <t>2004-08-05</t>
        </is>
      </c>
      <c r="X694" t="inlineStr">
        <is>
          <t>2004-08-05</t>
        </is>
      </c>
      <c r="Y694" t="inlineStr">
        <is>
          <t>2004-08-05</t>
        </is>
      </c>
      <c r="Z694" t="inlineStr">
        <is>
          <t>2004-08-05</t>
        </is>
      </c>
      <c r="AA694" t="n">
        <v>75</v>
      </c>
      <c r="AB694" t="n">
        <v>63</v>
      </c>
      <c r="AC694" t="n">
        <v>83</v>
      </c>
      <c r="AD694" t="n">
        <v>1</v>
      </c>
      <c r="AE694" t="n">
        <v>2</v>
      </c>
      <c r="AF694" t="n">
        <v>3</v>
      </c>
      <c r="AG694" t="n">
        <v>5</v>
      </c>
      <c r="AH694" t="n">
        <v>0</v>
      </c>
      <c r="AI694" t="n">
        <v>0</v>
      </c>
      <c r="AJ694" t="n">
        <v>2</v>
      </c>
      <c r="AK694" t="n">
        <v>3</v>
      </c>
      <c r="AL694" t="n">
        <v>1</v>
      </c>
      <c r="AM694" t="n">
        <v>2</v>
      </c>
      <c r="AN694" t="n">
        <v>0</v>
      </c>
      <c r="AO694" t="n">
        <v>1</v>
      </c>
      <c r="AP694" t="n">
        <v>0</v>
      </c>
      <c r="AQ694" t="n">
        <v>0</v>
      </c>
      <c r="AR694" t="inlineStr">
        <is>
          <t>No</t>
        </is>
      </c>
      <c r="AS694" t="inlineStr">
        <is>
          <t>No</t>
        </is>
      </c>
      <c r="AU694">
        <f>HYPERLINK("https://creighton-primo.hosted.exlibrisgroup.com/primo-explore/search?tab=default_tab&amp;search_scope=EVERYTHING&amp;vid=01CRU&amp;lang=en_US&amp;offset=0&amp;query=any,contains,991004341319702656","Catalog Record")</f>
        <v/>
      </c>
      <c r="AV694">
        <f>HYPERLINK("http://www.worldcat.org/oclc/40322096","WorldCat Record")</f>
        <v/>
      </c>
      <c r="AW694" t="inlineStr">
        <is>
          <t>3768441972:spa</t>
        </is>
      </c>
      <c r="AX694" t="inlineStr">
        <is>
          <t>40322096</t>
        </is>
      </c>
      <c r="AY694" t="inlineStr">
        <is>
          <t>991004341319702656</t>
        </is>
      </c>
      <c r="AZ694" t="inlineStr">
        <is>
          <t>991004341319702656</t>
        </is>
      </c>
      <c r="BA694" t="inlineStr">
        <is>
          <t>2271714190002656</t>
        </is>
      </c>
      <c r="BB694" t="inlineStr">
        <is>
          <t>BOOK</t>
        </is>
      </c>
      <c r="BE694" t="inlineStr">
        <is>
          <t>32285004929039</t>
        </is>
      </c>
      <c r="BF694" t="inlineStr">
        <is>
          <t>893325246</t>
        </is>
      </c>
    </row>
    <row r="695">
      <c r="A695" t="inlineStr">
        <is>
          <t>No</t>
        </is>
      </c>
      <c r="B695" t="inlineStr">
        <is>
          <t>CURAL</t>
        </is>
      </c>
      <c r="C695" t="inlineStr">
        <is>
          <t>SHELVES</t>
        </is>
      </c>
      <c r="D695" t="inlineStr">
        <is>
          <t>PQ6629.A5 Z665 1995</t>
        </is>
      </c>
      <c r="E695" t="inlineStr">
        <is>
          <t>0                      PQ 6629000A  5                  Z  665         1995</t>
        </is>
      </c>
      <c r="F695" t="inlineStr">
        <is>
          <t>Spain's forgotten novelist : Armando Palacio Valdés, 1853-1938 / Brian J. Dendle.</t>
        </is>
      </c>
      <c r="H695" t="inlineStr">
        <is>
          <t>No</t>
        </is>
      </c>
      <c r="I695" t="inlineStr">
        <is>
          <t>1</t>
        </is>
      </c>
      <c r="J695" t="inlineStr">
        <is>
          <t>No</t>
        </is>
      </c>
      <c r="K695" t="inlineStr">
        <is>
          <t>No</t>
        </is>
      </c>
      <c r="L695" t="inlineStr">
        <is>
          <t>0</t>
        </is>
      </c>
      <c r="M695" t="inlineStr">
        <is>
          <t>Dendle, Brian J., 1936-</t>
        </is>
      </c>
      <c r="N695" t="inlineStr">
        <is>
          <t>Lewisburg [Pa.] : Bucknell University Press ; London : Associated University Presses, c1995.</t>
        </is>
      </c>
      <c r="O695" t="inlineStr">
        <is>
          <t>1995</t>
        </is>
      </c>
      <c r="Q695" t="inlineStr">
        <is>
          <t>eng</t>
        </is>
      </c>
      <c r="R695" t="inlineStr">
        <is>
          <t>pau</t>
        </is>
      </c>
      <c r="T695" t="inlineStr">
        <is>
          <t xml:space="preserve">PQ </t>
        </is>
      </c>
      <c r="U695" t="n">
        <v>1</v>
      </c>
      <c r="V695" t="n">
        <v>1</v>
      </c>
      <c r="W695" t="inlineStr">
        <is>
          <t>2004-09-16</t>
        </is>
      </c>
      <c r="X695" t="inlineStr">
        <is>
          <t>2004-09-16</t>
        </is>
      </c>
      <c r="Y695" t="inlineStr">
        <is>
          <t>1995-11-03</t>
        </is>
      </c>
      <c r="Z695" t="inlineStr">
        <is>
          <t>1995-11-03</t>
        </is>
      </c>
      <c r="AA695" t="n">
        <v>317</v>
      </c>
      <c r="AB695" t="n">
        <v>270</v>
      </c>
      <c r="AC695" t="n">
        <v>272</v>
      </c>
      <c r="AD695" t="n">
        <v>2</v>
      </c>
      <c r="AE695" t="n">
        <v>2</v>
      </c>
      <c r="AF695" t="n">
        <v>17</v>
      </c>
      <c r="AG695" t="n">
        <v>17</v>
      </c>
      <c r="AH695" t="n">
        <v>6</v>
      </c>
      <c r="AI695" t="n">
        <v>6</v>
      </c>
      <c r="AJ695" t="n">
        <v>6</v>
      </c>
      <c r="AK695" t="n">
        <v>6</v>
      </c>
      <c r="AL695" t="n">
        <v>11</v>
      </c>
      <c r="AM695" t="n">
        <v>11</v>
      </c>
      <c r="AN695" t="n">
        <v>1</v>
      </c>
      <c r="AO695" t="n">
        <v>1</v>
      </c>
      <c r="AP695" t="n">
        <v>0</v>
      </c>
      <c r="AQ695" t="n">
        <v>0</v>
      </c>
      <c r="AR695" t="inlineStr">
        <is>
          <t>No</t>
        </is>
      </c>
      <c r="AS695" t="inlineStr">
        <is>
          <t>Yes</t>
        </is>
      </c>
      <c r="AT695">
        <f>HYPERLINK("http://catalog.hathitrust.org/Record/002967919","HathiTrust Record")</f>
        <v/>
      </c>
      <c r="AU695">
        <f>HYPERLINK("https://creighton-primo.hosted.exlibrisgroup.com/primo-explore/search?tab=default_tab&amp;search_scope=EVERYTHING&amp;vid=01CRU&amp;lang=en_US&amp;offset=0&amp;query=any,contains,991002370919702656","Catalog Record")</f>
        <v/>
      </c>
      <c r="AV695">
        <f>HYPERLINK("http://www.worldcat.org/oclc/30814049","WorldCat Record")</f>
        <v/>
      </c>
      <c r="AW695" t="inlineStr">
        <is>
          <t>32746804:eng</t>
        </is>
      </c>
      <c r="AX695" t="inlineStr">
        <is>
          <t>30814049</t>
        </is>
      </c>
      <c r="AY695" t="inlineStr">
        <is>
          <t>991002370919702656</t>
        </is>
      </c>
      <c r="AZ695" t="inlineStr">
        <is>
          <t>991002370919702656</t>
        </is>
      </c>
      <c r="BA695" t="inlineStr">
        <is>
          <t>2266475200002656</t>
        </is>
      </c>
      <c r="BB695" t="inlineStr">
        <is>
          <t>BOOK</t>
        </is>
      </c>
      <c r="BD695" t="inlineStr">
        <is>
          <t>9780838752944</t>
        </is>
      </c>
      <c r="BE695" t="inlineStr">
        <is>
          <t>32285002100732</t>
        </is>
      </c>
      <c r="BF695" t="inlineStr">
        <is>
          <t>893786053</t>
        </is>
      </c>
    </row>
    <row r="696">
      <c r="A696" t="inlineStr">
        <is>
          <t>No</t>
        </is>
      </c>
      <c r="B696" t="inlineStr">
        <is>
          <t>CURAL</t>
        </is>
      </c>
      <c r="C696" t="inlineStr">
        <is>
          <t>SHELVES</t>
        </is>
      </c>
      <c r="D696" t="inlineStr">
        <is>
          <t>PQ6629.E64 Z84</t>
        </is>
      </c>
      <c r="E696" t="inlineStr">
        <is>
          <t>0                      PQ 6629000E  64                 Z  84</t>
        </is>
      </c>
      <c r="F696" t="inlineStr">
        <is>
          <t>Ramón Pérez de Ayala / by Marguerite C. Rand.</t>
        </is>
      </c>
      <c r="H696" t="inlineStr">
        <is>
          <t>No</t>
        </is>
      </c>
      <c r="I696" t="inlineStr">
        <is>
          <t>1</t>
        </is>
      </c>
      <c r="J696" t="inlineStr">
        <is>
          <t>No</t>
        </is>
      </c>
      <c r="K696" t="inlineStr">
        <is>
          <t>No</t>
        </is>
      </c>
      <c r="L696" t="inlineStr">
        <is>
          <t>0</t>
        </is>
      </c>
      <c r="M696" t="inlineStr">
        <is>
          <t>Rand, Marguerite C.</t>
        </is>
      </c>
      <c r="N696" t="inlineStr">
        <is>
          <t>New York : Twayne Publishers, [1971]</t>
        </is>
      </c>
      <c r="O696" t="inlineStr">
        <is>
          <t>1971</t>
        </is>
      </c>
      <c r="Q696" t="inlineStr">
        <is>
          <t>eng</t>
        </is>
      </c>
      <c r="R696" t="inlineStr">
        <is>
          <t>nyu</t>
        </is>
      </c>
      <c r="S696" t="inlineStr">
        <is>
          <t>Twayne's world authors series, TWAS 138: Spain</t>
        </is>
      </c>
      <c r="T696" t="inlineStr">
        <is>
          <t xml:space="preserve">PQ </t>
        </is>
      </c>
      <c r="U696" t="n">
        <v>1</v>
      </c>
      <c r="V696" t="n">
        <v>1</v>
      </c>
      <c r="W696" t="inlineStr">
        <is>
          <t>2003-03-30</t>
        </is>
      </c>
      <c r="X696" t="inlineStr">
        <is>
          <t>2003-03-30</t>
        </is>
      </c>
      <c r="Y696" t="inlineStr">
        <is>
          <t>1991-07-19</t>
        </is>
      </c>
      <c r="Z696" t="inlineStr">
        <is>
          <t>1991-07-19</t>
        </is>
      </c>
      <c r="AA696" t="n">
        <v>642</v>
      </c>
      <c r="AB696" t="n">
        <v>580</v>
      </c>
      <c r="AC696" t="n">
        <v>587</v>
      </c>
      <c r="AD696" t="n">
        <v>6</v>
      </c>
      <c r="AE696" t="n">
        <v>6</v>
      </c>
      <c r="AF696" t="n">
        <v>27</v>
      </c>
      <c r="AG696" t="n">
        <v>27</v>
      </c>
      <c r="AH696" t="n">
        <v>8</v>
      </c>
      <c r="AI696" t="n">
        <v>8</v>
      </c>
      <c r="AJ696" t="n">
        <v>6</v>
      </c>
      <c r="AK696" t="n">
        <v>6</v>
      </c>
      <c r="AL696" t="n">
        <v>14</v>
      </c>
      <c r="AM696" t="n">
        <v>14</v>
      </c>
      <c r="AN696" t="n">
        <v>5</v>
      </c>
      <c r="AO696" t="n">
        <v>5</v>
      </c>
      <c r="AP696" t="n">
        <v>0</v>
      </c>
      <c r="AQ696" t="n">
        <v>0</v>
      </c>
      <c r="AR696" t="inlineStr">
        <is>
          <t>No</t>
        </is>
      </c>
      <c r="AS696" t="inlineStr">
        <is>
          <t>Yes</t>
        </is>
      </c>
      <c r="AT696">
        <f>HYPERLINK("http://catalog.hathitrust.org/Record/001053247","HathiTrust Record")</f>
        <v/>
      </c>
      <c r="AU696">
        <f>HYPERLINK("https://creighton-primo.hosted.exlibrisgroup.com/primo-explore/search?tab=default_tab&amp;search_scope=EVERYTHING&amp;vid=01CRU&amp;lang=en_US&amp;offset=0&amp;query=any,contains,991001887969702656","Catalog Record")</f>
        <v/>
      </c>
      <c r="AV696">
        <f>HYPERLINK("http://www.worldcat.org/oclc/238594","WorldCat Record")</f>
        <v/>
      </c>
      <c r="AW696" t="inlineStr">
        <is>
          <t>9170877933:eng</t>
        </is>
      </c>
      <c r="AX696" t="inlineStr">
        <is>
          <t>238594</t>
        </is>
      </c>
      <c r="AY696" t="inlineStr">
        <is>
          <t>991001887969702656</t>
        </is>
      </c>
      <c r="AZ696" t="inlineStr">
        <is>
          <t>991001887969702656</t>
        </is>
      </c>
      <c r="BA696" t="inlineStr">
        <is>
          <t>2255412940002656</t>
        </is>
      </c>
      <c r="BB696" t="inlineStr">
        <is>
          <t>BOOK</t>
        </is>
      </c>
      <c r="BE696" t="inlineStr">
        <is>
          <t>32285000677087</t>
        </is>
      </c>
      <c r="BF696" t="inlineStr">
        <is>
          <t>893226200</t>
        </is>
      </c>
    </row>
    <row r="697">
      <c r="A697" t="inlineStr">
        <is>
          <t>No</t>
        </is>
      </c>
      <c r="B697" t="inlineStr">
        <is>
          <t>CURAL</t>
        </is>
      </c>
      <c r="C697" t="inlineStr">
        <is>
          <t>SHELVES</t>
        </is>
      </c>
      <c r="D697" t="inlineStr">
        <is>
          <t>PQ6629.R5 S4 1986</t>
        </is>
      </c>
      <c r="E697" t="inlineStr">
        <is>
          <t>0                      PQ 6629000R  5                  S  4           1986</t>
        </is>
      </c>
      <c r="F697" t="inlineStr">
        <is>
          <t>Secretum / Antonio Prieto.</t>
        </is>
      </c>
      <c r="H697" t="inlineStr">
        <is>
          <t>No</t>
        </is>
      </c>
      <c r="I697" t="inlineStr">
        <is>
          <t>1</t>
        </is>
      </c>
      <c r="J697" t="inlineStr">
        <is>
          <t>No</t>
        </is>
      </c>
      <c r="K697" t="inlineStr">
        <is>
          <t>No</t>
        </is>
      </c>
      <c r="L697" t="inlineStr">
        <is>
          <t>0</t>
        </is>
      </c>
      <c r="M697" t="inlineStr">
        <is>
          <t>Prieto, Antonio.</t>
        </is>
      </c>
      <c r="N697" t="inlineStr">
        <is>
          <t>Barcelona, España : Planeta, 1986.</t>
        </is>
      </c>
      <c r="O697" t="inlineStr">
        <is>
          <t>1986</t>
        </is>
      </c>
      <c r="P697" t="inlineStr">
        <is>
          <t>1a ed. en Colección Narrativa.</t>
        </is>
      </c>
      <c r="Q697" t="inlineStr">
        <is>
          <t>spa</t>
        </is>
      </c>
      <c r="R697" t="inlineStr">
        <is>
          <t xml:space="preserve">sp </t>
        </is>
      </c>
      <c r="S697" t="inlineStr">
        <is>
          <t>Narrativa ; 82</t>
        </is>
      </c>
      <c r="T697" t="inlineStr">
        <is>
          <t xml:space="preserve">PQ </t>
        </is>
      </c>
      <c r="U697" t="n">
        <v>1</v>
      </c>
      <c r="V697" t="n">
        <v>1</v>
      </c>
      <c r="W697" t="inlineStr">
        <is>
          <t>1993-12-04</t>
        </is>
      </c>
      <c r="X697" t="inlineStr">
        <is>
          <t>1993-12-04</t>
        </is>
      </c>
      <c r="Y697" t="inlineStr">
        <is>
          <t>1990-06-13</t>
        </is>
      </c>
      <c r="Z697" t="inlineStr">
        <is>
          <t>1990-06-13</t>
        </is>
      </c>
      <c r="AA697" t="n">
        <v>54</v>
      </c>
      <c r="AB697" t="n">
        <v>43</v>
      </c>
      <c r="AC697" t="n">
        <v>43</v>
      </c>
      <c r="AD697" t="n">
        <v>2</v>
      </c>
      <c r="AE697" t="n">
        <v>2</v>
      </c>
      <c r="AF697" t="n">
        <v>1</v>
      </c>
      <c r="AG697" t="n">
        <v>1</v>
      </c>
      <c r="AH697" t="n">
        <v>0</v>
      </c>
      <c r="AI697" t="n">
        <v>0</v>
      </c>
      <c r="AJ697" t="n">
        <v>0</v>
      </c>
      <c r="AK697" t="n">
        <v>0</v>
      </c>
      <c r="AL697" t="n">
        <v>0</v>
      </c>
      <c r="AM697" t="n">
        <v>0</v>
      </c>
      <c r="AN697" t="n">
        <v>1</v>
      </c>
      <c r="AO697" t="n">
        <v>1</v>
      </c>
      <c r="AP697" t="n">
        <v>0</v>
      </c>
      <c r="AQ697" t="n">
        <v>0</v>
      </c>
      <c r="AR697" t="inlineStr">
        <is>
          <t>No</t>
        </is>
      </c>
      <c r="AS697" t="inlineStr">
        <is>
          <t>No</t>
        </is>
      </c>
      <c r="AU697">
        <f>HYPERLINK("https://creighton-primo.hosted.exlibrisgroup.com/primo-explore/search?tab=default_tab&amp;search_scope=EVERYTHING&amp;vid=01CRU&amp;lang=en_US&amp;offset=0&amp;query=any,contains,991000925009702656","Catalog Record")</f>
        <v/>
      </c>
      <c r="AV697">
        <f>HYPERLINK("http://www.worldcat.org/oclc/14238052","WorldCat Record")</f>
        <v/>
      </c>
      <c r="AW697" t="inlineStr">
        <is>
          <t>5090516728:spa</t>
        </is>
      </c>
      <c r="AX697" t="inlineStr">
        <is>
          <t>14238052</t>
        </is>
      </c>
      <c r="AY697" t="inlineStr">
        <is>
          <t>991000925009702656</t>
        </is>
      </c>
      <c r="AZ697" t="inlineStr">
        <is>
          <t>991000925009702656</t>
        </is>
      </c>
      <c r="BA697" t="inlineStr">
        <is>
          <t>2264332170002656</t>
        </is>
      </c>
      <c r="BB697" t="inlineStr">
        <is>
          <t>BOOK</t>
        </is>
      </c>
      <c r="BD697" t="inlineStr">
        <is>
          <t>9788432071843</t>
        </is>
      </c>
      <c r="BE697" t="inlineStr">
        <is>
          <t>32285000176296</t>
        </is>
      </c>
      <c r="BF697" t="inlineStr">
        <is>
          <t>893333901</t>
        </is>
      </c>
    </row>
    <row r="698">
      <c r="A698" t="inlineStr">
        <is>
          <t>No</t>
        </is>
      </c>
      <c r="B698" t="inlineStr">
        <is>
          <t>CURAL</t>
        </is>
      </c>
      <c r="C698" t="inlineStr">
        <is>
          <t>SHELVES</t>
        </is>
      </c>
      <c r="D698" t="inlineStr">
        <is>
          <t>PQ6629.R5 T7 1983</t>
        </is>
      </c>
      <c r="E698" t="inlineStr">
        <is>
          <t>0                      PQ 6629000R  5                  T  7           1983</t>
        </is>
      </c>
      <c r="F698" t="inlineStr">
        <is>
          <t>Tres pisadas de hombre / Antonio Prieto.</t>
        </is>
      </c>
      <c r="H698" t="inlineStr">
        <is>
          <t>No</t>
        </is>
      </c>
      <c r="I698" t="inlineStr">
        <is>
          <t>1</t>
        </is>
      </c>
      <c r="J698" t="inlineStr">
        <is>
          <t>No</t>
        </is>
      </c>
      <c r="K698" t="inlineStr">
        <is>
          <t>No</t>
        </is>
      </c>
      <c r="L698" t="inlineStr">
        <is>
          <t>0</t>
        </is>
      </c>
      <c r="M698" t="inlineStr">
        <is>
          <t>Prieto, Antonio.</t>
        </is>
      </c>
      <c r="N698" t="inlineStr">
        <is>
          <t>Barcelona : Planeta, 1983, c1955.</t>
        </is>
      </c>
      <c r="O698" t="inlineStr">
        <is>
          <t>1983</t>
        </is>
      </c>
      <c r="P698" t="inlineStr">
        <is>
          <t>2a ed. en Colección Popular.</t>
        </is>
      </c>
      <c r="Q698" t="inlineStr">
        <is>
          <t>spa</t>
        </is>
      </c>
      <c r="R698" t="inlineStr">
        <is>
          <t xml:space="preserve">sp </t>
        </is>
      </c>
      <c r="S698" t="inlineStr">
        <is>
          <t>Colección popular</t>
        </is>
      </c>
      <c r="T698" t="inlineStr">
        <is>
          <t xml:space="preserve">PQ </t>
        </is>
      </c>
      <c r="U698" t="n">
        <v>1</v>
      </c>
      <c r="V698" t="n">
        <v>1</v>
      </c>
      <c r="W698" t="inlineStr">
        <is>
          <t>1993-06-25</t>
        </is>
      </c>
      <c r="X698" t="inlineStr">
        <is>
          <t>1993-06-25</t>
        </is>
      </c>
      <c r="Y698" t="inlineStr">
        <is>
          <t>1990-06-13</t>
        </is>
      </c>
      <c r="Z698" t="inlineStr">
        <is>
          <t>1990-06-13</t>
        </is>
      </c>
      <c r="AA698" t="n">
        <v>6</v>
      </c>
      <c r="AB698" t="n">
        <v>6</v>
      </c>
      <c r="AC698" t="n">
        <v>16</v>
      </c>
      <c r="AD698" t="n">
        <v>1</v>
      </c>
      <c r="AE698" t="n">
        <v>1</v>
      </c>
      <c r="AF698" t="n">
        <v>0</v>
      </c>
      <c r="AG698" t="n">
        <v>0</v>
      </c>
      <c r="AH698" t="n">
        <v>0</v>
      </c>
      <c r="AI698" t="n">
        <v>0</v>
      </c>
      <c r="AJ698" t="n">
        <v>0</v>
      </c>
      <c r="AK698" t="n">
        <v>0</v>
      </c>
      <c r="AL698" t="n">
        <v>0</v>
      </c>
      <c r="AM698" t="n">
        <v>0</v>
      </c>
      <c r="AN698" t="n">
        <v>0</v>
      </c>
      <c r="AO698" t="n">
        <v>0</v>
      </c>
      <c r="AP698" t="n">
        <v>0</v>
      </c>
      <c r="AQ698" t="n">
        <v>0</v>
      </c>
      <c r="AR698" t="inlineStr">
        <is>
          <t>No</t>
        </is>
      </c>
      <c r="AS698" t="inlineStr">
        <is>
          <t>Yes</t>
        </is>
      </c>
      <c r="AT698">
        <f>HYPERLINK("http://catalog.hathitrust.org/Record/007576667","HathiTrust Record")</f>
        <v/>
      </c>
      <c r="AU698">
        <f>HYPERLINK("https://creighton-primo.hosted.exlibrisgroup.com/primo-explore/search?tab=default_tab&amp;search_scope=EVERYTHING&amp;vid=01CRU&amp;lang=en_US&amp;offset=0&amp;query=any,contains,991000708919702656","Catalog Record")</f>
        <v/>
      </c>
      <c r="AV698">
        <f>HYPERLINK("http://www.worldcat.org/oclc/12566747","WorldCat Record")</f>
        <v/>
      </c>
      <c r="AW698" t="inlineStr">
        <is>
          <t>5090556411:spa</t>
        </is>
      </c>
      <c r="AX698" t="inlineStr">
        <is>
          <t>12566747</t>
        </is>
      </c>
      <c r="AY698" t="inlineStr">
        <is>
          <t>991000708919702656</t>
        </is>
      </c>
      <c r="AZ698" t="inlineStr">
        <is>
          <t>991000708919702656</t>
        </is>
      </c>
      <c r="BA698" t="inlineStr">
        <is>
          <t>2260589090002656</t>
        </is>
      </c>
      <c r="BB698" t="inlineStr">
        <is>
          <t>BOOK</t>
        </is>
      </c>
      <c r="BE698" t="inlineStr">
        <is>
          <t>32285000176320</t>
        </is>
      </c>
      <c r="BF698" t="inlineStr">
        <is>
          <t>893496486</t>
        </is>
      </c>
    </row>
    <row r="699">
      <c r="A699" t="inlineStr">
        <is>
          <t>No</t>
        </is>
      </c>
      <c r="B699" t="inlineStr">
        <is>
          <t>CURAL</t>
        </is>
      </c>
      <c r="C699" t="inlineStr">
        <is>
          <t>SHELVES</t>
        </is>
      </c>
      <c r="D699" t="inlineStr">
        <is>
          <t>PQ6631.U49 E6 1964</t>
        </is>
      </c>
      <c r="E699" t="inlineStr">
        <is>
          <t>0                      PQ 6631000U  49                 E  6           1964</t>
        </is>
      </c>
      <c r="F699" t="inlineStr">
        <is>
          <t>En vida / Fernando Quinones.</t>
        </is>
      </c>
      <c r="H699" t="inlineStr">
        <is>
          <t>No</t>
        </is>
      </c>
      <c r="I699" t="inlineStr">
        <is>
          <t>1</t>
        </is>
      </c>
      <c r="J699" t="inlineStr">
        <is>
          <t>No</t>
        </is>
      </c>
      <c r="K699" t="inlineStr">
        <is>
          <t>No</t>
        </is>
      </c>
      <c r="L699" t="inlineStr">
        <is>
          <t>0</t>
        </is>
      </c>
      <c r="M699" t="inlineStr">
        <is>
          <t>Quiñones, Fernando, 1930-1998.</t>
        </is>
      </c>
      <c r="N699" t="inlineStr">
        <is>
          <t>Madrid : Ediciones Cultura Hispánica, 1964.</t>
        </is>
      </c>
      <c r="O699" t="inlineStr">
        <is>
          <t>1964</t>
        </is>
      </c>
      <c r="Q699" t="inlineStr">
        <is>
          <t>spa</t>
        </is>
      </c>
      <c r="R699" t="inlineStr">
        <is>
          <t xml:space="preserve">sp </t>
        </is>
      </c>
      <c r="S699" t="inlineStr">
        <is>
          <t>Colección poesía de España y América; la encina y el mar, 28</t>
        </is>
      </c>
      <c r="T699" t="inlineStr">
        <is>
          <t xml:space="preserve">PQ </t>
        </is>
      </c>
      <c r="U699" t="n">
        <v>1</v>
      </c>
      <c r="V699" t="n">
        <v>1</v>
      </c>
      <c r="W699" t="inlineStr">
        <is>
          <t>2005-03-23</t>
        </is>
      </c>
      <c r="X699" t="inlineStr">
        <is>
          <t>2005-03-23</t>
        </is>
      </c>
      <c r="Y699" t="inlineStr">
        <is>
          <t>2005-03-23</t>
        </is>
      </c>
      <c r="Z699" t="inlineStr">
        <is>
          <t>2005-03-23</t>
        </is>
      </c>
      <c r="AA699" t="n">
        <v>50</v>
      </c>
      <c r="AB699" t="n">
        <v>39</v>
      </c>
      <c r="AC699" t="n">
        <v>42</v>
      </c>
      <c r="AD699" t="n">
        <v>2</v>
      </c>
      <c r="AE699" t="n">
        <v>2</v>
      </c>
      <c r="AF699" t="n">
        <v>1</v>
      </c>
      <c r="AG699" t="n">
        <v>1</v>
      </c>
      <c r="AH699" t="n">
        <v>0</v>
      </c>
      <c r="AI699" t="n">
        <v>0</v>
      </c>
      <c r="AJ699" t="n">
        <v>0</v>
      </c>
      <c r="AK699" t="n">
        <v>0</v>
      </c>
      <c r="AL699" t="n">
        <v>0</v>
      </c>
      <c r="AM699" t="n">
        <v>0</v>
      </c>
      <c r="AN699" t="n">
        <v>1</v>
      </c>
      <c r="AO699" t="n">
        <v>1</v>
      </c>
      <c r="AP699" t="n">
        <v>0</v>
      </c>
      <c r="AQ699" t="n">
        <v>0</v>
      </c>
      <c r="AR699" t="inlineStr">
        <is>
          <t>No</t>
        </is>
      </c>
      <c r="AS699" t="inlineStr">
        <is>
          <t>Yes</t>
        </is>
      </c>
      <c r="AT699">
        <f>HYPERLINK("http://catalog.hathitrust.org/Record/001522372","HathiTrust Record")</f>
        <v/>
      </c>
      <c r="AU699">
        <f>HYPERLINK("https://creighton-primo.hosted.exlibrisgroup.com/primo-explore/search?tab=default_tab&amp;search_scope=EVERYTHING&amp;vid=01CRU&amp;lang=en_US&amp;offset=0&amp;query=any,contains,991004509139702656","Catalog Record")</f>
        <v/>
      </c>
      <c r="AV699">
        <f>HYPERLINK("http://www.worldcat.org/oclc/2549085","WorldCat Record")</f>
        <v/>
      </c>
      <c r="AW699" t="inlineStr">
        <is>
          <t>372053758:spa</t>
        </is>
      </c>
      <c r="AX699" t="inlineStr">
        <is>
          <t>2549085</t>
        </is>
      </c>
      <c r="AY699" t="inlineStr">
        <is>
          <t>991004509139702656</t>
        </is>
      </c>
      <c r="AZ699" t="inlineStr">
        <is>
          <t>991004509139702656</t>
        </is>
      </c>
      <c r="BA699" t="inlineStr">
        <is>
          <t>2266694350002656</t>
        </is>
      </c>
      <c r="BB699" t="inlineStr">
        <is>
          <t>BOOK</t>
        </is>
      </c>
      <c r="BE699" t="inlineStr">
        <is>
          <t>32285005029268</t>
        </is>
      </c>
      <c r="BF699" t="inlineStr">
        <is>
          <t>893876192</t>
        </is>
      </c>
    </row>
    <row r="700">
      <c r="A700" t="inlineStr">
        <is>
          <t>No</t>
        </is>
      </c>
      <c r="B700" t="inlineStr">
        <is>
          <t>CURAL</t>
        </is>
      </c>
      <c r="C700" t="inlineStr">
        <is>
          <t>SHELVES</t>
        </is>
      </c>
      <c r="D700" t="inlineStr">
        <is>
          <t>PQ6633.O37 D31 1998</t>
        </is>
      </c>
      <c r="E700" t="inlineStr">
        <is>
          <t>0                      PQ 6633000O  37                 D  31          1998</t>
        </is>
      </c>
      <c r="F700" t="inlineStr">
        <is>
          <t>Lady of the dawn : a play in four acts / by Alejandro Casona ; translated by Donald B. Gibbs.</t>
        </is>
      </c>
      <c r="H700" t="inlineStr">
        <is>
          <t>No</t>
        </is>
      </c>
      <c r="I700" t="inlineStr">
        <is>
          <t>1</t>
        </is>
      </c>
      <c r="J700" t="inlineStr">
        <is>
          <t>No</t>
        </is>
      </c>
      <c r="K700" t="inlineStr">
        <is>
          <t>No</t>
        </is>
      </c>
      <c r="L700" t="inlineStr">
        <is>
          <t>0</t>
        </is>
      </c>
      <c r="M700" t="inlineStr">
        <is>
          <t>Casona, Alejandro, 1903-1965.</t>
        </is>
      </c>
      <c r="N700" t="inlineStr">
        <is>
          <t>Rock Hill, South Carolina : Spanish Literature Publications Co., 1998.</t>
        </is>
      </c>
      <c r="O700" t="inlineStr">
        <is>
          <t>1998</t>
        </is>
      </c>
      <c r="Q700" t="inlineStr">
        <is>
          <t>eng</t>
        </is>
      </c>
      <c r="R700" t="inlineStr">
        <is>
          <t>scu</t>
        </is>
      </c>
      <c r="T700" t="inlineStr">
        <is>
          <t xml:space="preserve">PQ </t>
        </is>
      </c>
      <c r="U700" t="n">
        <v>1</v>
      </c>
      <c r="V700" t="n">
        <v>1</v>
      </c>
      <c r="W700" t="inlineStr">
        <is>
          <t>2003-01-30</t>
        </is>
      </c>
      <c r="X700" t="inlineStr">
        <is>
          <t>2003-01-30</t>
        </is>
      </c>
      <c r="Y700" t="inlineStr">
        <is>
          <t>2001-05-14</t>
        </is>
      </c>
      <c r="Z700" t="inlineStr">
        <is>
          <t>2001-05-14</t>
        </is>
      </c>
      <c r="AA700" t="n">
        <v>32</v>
      </c>
      <c r="AB700" t="n">
        <v>27</v>
      </c>
      <c r="AC700" t="n">
        <v>72</v>
      </c>
      <c r="AD700" t="n">
        <v>1</v>
      </c>
      <c r="AE700" t="n">
        <v>1</v>
      </c>
      <c r="AF700" t="n">
        <v>2</v>
      </c>
      <c r="AG700" t="n">
        <v>5</v>
      </c>
      <c r="AH700" t="n">
        <v>0</v>
      </c>
      <c r="AI700" t="n">
        <v>2</v>
      </c>
      <c r="AJ700" t="n">
        <v>0</v>
      </c>
      <c r="AK700" t="n">
        <v>2</v>
      </c>
      <c r="AL700" t="n">
        <v>2</v>
      </c>
      <c r="AM700" t="n">
        <v>3</v>
      </c>
      <c r="AN700" t="n">
        <v>0</v>
      </c>
      <c r="AO700" t="n">
        <v>0</v>
      </c>
      <c r="AP700" t="n">
        <v>0</v>
      </c>
      <c r="AQ700" t="n">
        <v>0</v>
      </c>
      <c r="AR700" t="inlineStr">
        <is>
          <t>No</t>
        </is>
      </c>
      <c r="AS700" t="inlineStr">
        <is>
          <t>No</t>
        </is>
      </c>
      <c r="AU700">
        <f>HYPERLINK("https://creighton-primo.hosted.exlibrisgroup.com/primo-explore/search?tab=default_tab&amp;search_scope=EVERYTHING&amp;vid=01CRU&amp;lang=en_US&amp;offset=0&amp;query=any,contains,991003533229702656","Catalog Record")</f>
        <v/>
      </c>
      <c r="AV700">
        <f>HYPERLINK("http://www.worldcat.org/oclc/59128753","WorldCat Record")</f>
        <v/>
      </c>
      <c r="AW700" t="inlineStr">
        <is>
          <t>350163958:eng</t>
        </is>
      </c>
      <c r="AX700" t="inlineStr">
        <is>
          <t>59128753</t>
        </is>
      </c>
      <c r="AY700" t="inlineStr">
        <is>
          <t>991003533229702656</t>
        </is>
      </c>
      <c r="AZ700" t="inlineStr">
        <is>
          <t>991003533229702656</t>
        </is>
      </c>
      <c r="BA700" t="inlineStr">
        <is>
          <t>2263210900002656</t>
        </is>
      </c>
      <c r="BB700" t="inlineStr">
        <is>
          <t>BOOK</t>
        </is>
      </c>
      <c r="BD700" t="inlineStr">
        <is>
          <t>9780938972297</t>
        </is>
      </c>
      <c r="BE700" t="inlineStr">
        <is>
          <t>32285003753315</t>
        </is>
      </c>
      <c r="BF700" t="inlineStr">
        <is>
          <t>893623591</t>
        </is>
      </c>
    </row>
    <row r="701">
      <c r="A701" t="inlineStr">
        <is>
          <t>No</t>
        </is>
      </c>
      <c r="B701" t="inlineStr">
        <is>
          <t>CURAL</t>
        </is>
      </c>
      <c r="C701" t="inlineStr">
        <is>
          <t>SHELVES</t>
        </is>
      </c>
      <c r="D701" t="inlineStr">
        <is>
          <t>PQ6635.A32 Z7 1971</t>
        </is>
      </c>
      <c r="E701" t="inlineStr">
        <is>
          <t>0                      PQ 6635000A  32                 Z  7           1971</t>
        </is>
      </c>
      <c r="F701" t="inlineStr">
        <is>
          <t>La poesaia de Pedro Salinas / Carlos Feal Deibe.</t>
        </is>
      </c>
      <c r="H701" t="inlineStr">
        <is>
          <t>No</t>
        </is>
      </c>
      <c r="I701" t="inlineStr">
        <is>
          <t>1</t>
        </is>
      </c>
      <c r="J701" t="inlineStr">
        <is>
          <t>No</t>
        </is>
      </c>
      <c r="K701" t="inlineStr">
        <is>
          <t>No</t>
        </is>
      </c>
      <c r="L701" t="inlineStr">
        <is>
          <t>0</t>
        </is>
      </c>
      <c r="M701" t="inlineStr">
        <is>
          <t>Feal Deibe, Carlos.</t>
        </is>
      </c>
      <c r="N701" t="inlineStr">
        <is>
          <t>Madrid : Gredos, [1971]</t>
        </is>
      </c>
      <c r="O701" t="inlineStr">
        <is>
          <t>1971</t>
        </is>
      </c>
      <c r="P701" t="inlineStr">
        <is>
          <t>2. ed.</t>
        </is>
      </c>
      <c r="Q701" t="inlineStr">
        <is>
          <t>spa</t>
        </is>
      </c>
      <c r="R701" t="inlineStr">
        <is>
          <t xml:space="preserve">sp </t>
        </is>
      </c>
      <c r="S701" t="inlineStr">
        <is>
          <t>Biblioteca romaanica hispaanica. 2. Estudios y ensayos ; 83</t>
        </is>
      </c>
      <c r="T701" t="inlineStr">
        <is>
          <t xml:space="preserve">PQ </t>
        </is>
      </c>
      <c r="U701" t="n">
        <v>1</v>
      </c>
      <c r="V701" t="n">
        <v>1</v>
      </c>
      <c r="W701" t="inlineStr">
        <is>
          <t>2004-08-05</t>
        </is>
      </c>
      <c r="X701" t="inlineStr">
        <is>
          <t>2004-08-05</t>
        </is>
      </c>
      <c r="Y701" t="inlineStr">
        <is>
          <t>2004-08-05</t>
        </is>
      </c>
      <c r="Z701" t="inlineStr">
        <is>
          <t>2004-08-05</t>
        </is>
      </c>
      <c r="AA701" t="n">
        <v>130</v>
      </c>
      <c r="AB701" t="n">
        <v>99</v>
      </c>
      <c r="AC701" t="n">
        <v>103</v>
      </c>
      <c r="AD701" t="n">
        <v>3</v>
      </c>
      <c r="AE701" t="n">
        <v>3</v>
      </c>
      <c r="AF701" t="n">
        <v>7</v>
      </c>
      <c r="AG701" t="n">
        <v>7</v>
      </c>
      <c r="AH701" t="n">
        <v>1</v>
      </c>
      <c r="AI701" t="n">
        <v>1</v>
      </c>
      <c r="AJ701" t="n">
        <v>2</v>
      </c>
      <c r="AK701" t="n">
        <v>2</v>
      </c>
      <c r="AL701" t="n">
        <v>4</v>
      </c>
      <c r="AM701" t="n">
        <v>4</v>
      </c>
      <c r="AN701" t="n">
        <v>2</v>
      </c>
      <c r="AO701" t="n">
        <v>2</v>
      </c>
      <c r="AP701" t="n">
        <v>0</v>
      </c>
      <c r="AQ701" t="n">
        <v>0</v>
      </c>
      <c r="AR701" t="inlineStr">
        <is>
          <t>No</t>
        </is>
      </c>
      <c r="AS701" t="inlineStr">
        <is>
          <t>Yes</t>
        </is>
      </c>
      <c r="AT701">
        <f>HYPERLINK("http://catalog.hathitrust.org/Record/008366792","HathiTrust Record")</f>
        <v/>
      </c>
      <c r="AU701">
        <f>HYPERLINK("https://creighton-primo.hosted.exlibrisgroup.com/primo-explore/search?tab=default_tab&amp;search_scope=EVERYTHING&amp;vid=01CRU&amp;lang=en_US&amp;offset=0&amp;query=any,contains,991004339499702656","Catalog Record")</f>
        <v/>
      </c>
      <c r="AV701">
        <f>HYPERLINK("http://www.worldcat.org/oclc/3974426","WorldCat Record")</f>
        <v/>
      </c>
      <c r="AW701" t="inlineStr">
        <is>
          <t>349264048:spa</t>
        </is>
      </c>
      <c r="AX701" t="inlineStr">
        <is>
          <t>3974426</t>
        </is>
      </c>
      <c r="AY701" t="inlineStr">
        <is>
          <t>991004339499702656</t>
        </is>
      </c>
      <c r="AZ701" t="inlineStr">
        <is>
          <t>991004339499702656</t>
        </is>
      </c>
      <c r="BA701" t="inlineStr">
        <is>
          <t>2266660840002656</t>
        </is>
      </c>
      <c r="BB701" t="inlineStr">
        <is>
          <t>BOOK</t>
        </is>
      </c>
      <c r="BE701" t="inlineStr">
        <is>
          <t>32285004929385</t>
        </is>
      </c>
      <c r="BF701" t="inlineStr">
        <is>
          <t>893788581</t>
        </is>
      </c>
    </row>
    <row r="702">
      <c r="A702" t="inlineStr">
        <is>
          <t>No</t>
        </is>
      </c>
      <c r="B702" t="inlineStr">
        <is>
          <t>CURAL</t>
        </is>
      </c>
      <c r="C702" t="inlineStr">
        <is>
          <t>SHELVES</t>
        </is>
      </c>
      <c r="D702" t="inlineStr">
        <is>
          <t>PQ6635.A32 Z72 2000</t>
        </is>
      </c>
      <c r="E702" t="inlineStr">
        <is>
          <t>0                      PQ 6635000A  32                 Z  72          2000</t>
        </is>
      </c>
      <c r="F702" t="inlineStr">
        <is>
          <t>Poesaia y narrativa de Pedro Salinas / Carlos Feal Deibe.</t>
        </is>
      </c>
      <c r="H702" t="inlineStr">
        <is>
          <t>No</t>
        </is>
      </c>
      <c r="I702" t="inlineStr">
        <is>
          <t>1</t>
        </is>
      </c>
      <c r="J702" t="inlineStr">
        <is>
          <t>No</t>
        </is>
      </c>
      <c r="K702" t="inlineStr">
        <is>
          <t>No</t>
        </is>
      </c>
      <c r="L702" t="inlineStr">
        <is>
          <t>0</t>
        </is>
      </c>
      <c r="M702" t="inlineStr">
        <is>
          <t>Feal Deibe, Carlos.</t>
        </is>
      </c>
      <c r="N702" t="inlineStr">
        <is>
          <t>Madrid : Gredos, 2000.</t>
        </is>
      </c>
      <c r="O702" t="inlineStr">
        <is>
          <t>2000</t>
        </is>
      </c>
      <c r="Q702" t="inlineStr">
        <is>
          <t>spa</t>
        </is>
      </c>
      <c r="R702" t="inlineStr">
        <is>
          <t xml:space="preserve">sp </t>
        </is>
      </c>
      <c r="S702" t="inlineStr">
        <is>
          <t>Biblioteca romaanica hispaanica. II, Estudios y ensayos ; 417</t>
        </is>
      </c>
      <c r="T702" t="inlineStr">
        <is>
          <t xml:space="preserve">PQ </t>
        </is>
      </c>
      <c r="U702" t="n">
        <v>1</v>
      </c>
      <c r="V702" t="n">
        <v>1</v>
      </c>
      <c r="W702" t="inlineStr">
        <is>
          <t>2004-10-07</t>
        </is>
      </c>
      <c r="X702" t="inlineStr">
        <is>
          <t>2004-10-07</t>
        </is>
      </c>
      <c r="Y702" t="inlineStr">
        <is>
          <t>2004-10-07</t>
        </is>
      </c>
      <c r="Z702" t="inlineStr">
        <is>
          <t>2004-10-07</t>
        </is>
      </c>
      <c r="AA702" t="n">
        <v>105</v>
      </c>
      <c r="AB702" t="n">
        <v>77</v>
      </c>
      <c r="AC702" t="n">
        <v>81</v>
      </c>
      <c r="AD702" t="n">
        <v>1</v>
      </c>
      <c r="AE702" t="n">
        <v>1</v>
      </c>
      <c r="AF702" t="n">
        <v>3</v>
      </c>
      <c r="AG702" t="n">
        <v>3</v>
      </c>
      <c r="AH702" t="n">
        <v>1</v>
      </c>
      <c r="AI702" t="n">
        <v>1</v>
      </c>
      <c r="AJ702" t="n">
        <v>3</v>
      </c>
      <c r="AK702" t="n">
        <v>3</v>
      </c>
      <c r="AL702" t="n">
        <v>1</v>
      </c>
      <c r="AM702" t="n">
        <v>1</v>
      </c>
      <c r="AN702" t="n">
        <v>0</v>
      </c>
      <c r="AO702" t="n">
        <v>0</v>
      </c>
      <c r="AP702" t="n">
        <v>0</v>
      </c>
      <c r="AQ702" t="n">
        <v>0</v>
      </c>
      <c r="AR702" t="inlineStr">
        <is>
          <t>No</t>
        </is>
      </c>
      <c r="AS702" t="inlineStr">
        <is>
          <t>Yes</t>
        </is>
      </c>
      <c r="AT702">
        <f>HYPERLINK("http://catalog.hathitrust.org/Record/003499723","HathiTrust Record")</f>
        <v/>
      </c>
      <c r="AU702">
        <f>HYPERLINK("https://creighton-primo.hosted.exlibrisgroup.com/primo-explore/search?tab=default_tab&amp;search_scope=EVERYTHING&amp;vid=01CRU&amp;lang=en_US&amp;offset=0&amp;query=any,contains,991004345789702656","Catalog Record")</f>
        <v/>
      </c>
      <c r="AV702">
        <f>HYPERLINK("http://www.worldcat.org/oclc/43860151","WorldCat Record")</f>
        <v/>
      </c>
      <c r="AW702" t="inlineStr">
        <is>
          <t>3856503731:spa</t>
        </is>
      </c>
      <c r="AX702" t="inlineStr">
        <is>
          <t>43860151</t>
        </is>
      </c>
      <c r="AY702" t="inlineStr">
        <is>
          <t>991004345789702656</t>
        </is>
      </c>
      <c r="AZ702" t="inlineStr">
        <is>
          <t>991004345789702656</t>
        </is>
      </c>
      <c r="BA702" t="inlineStr">
        <is>
          <t>2256676130002656</t>
        </is>
      </c>
      <c r="BB702" t="inlineStr">
        <is>
          <t>BOOK</t>
        </is>
      </c>
      <c r="BD702" t="inlineStr">
        <is>
          <t>9788424922535</t>
        </is>
      </c>
      <c r="BE702" t="inlineStr">
        <is>
          <t>32285005002372</t>
        </is>
      </c>
      <c r="BF702" t="inlineStr">
        <is>
          <t>893875989</t>
        </is>
      </c>
    </row>
    <row r="703">
      <c r="A703" t="inlineStr">
        <is>
          <t>No</t>
        </is>
      </c>
      <c r="B703" t="inlineStr">
        <is>
          <t>CURAL</t>
        </is>
      </c>
      <c r="C703" t="inlineStr">
        <is>
          <t>SHELVES</t>
        </is>
      </c>
      <c r="D703" t="inlineStr">
        <is>
          <t>PQ6635.A362 S6 1985</t>
        </is>
      </c>
      <c r="E703" t="inlineStr">
        <is>
          <t>0                      PQ 6635000A  362                S  6           1985</t>
        </is>
      </c>
      <c r="F703" t="inlineStr">
        <is>
          <t>La sonrisa etrusca / José Luis Sampedro.</t>
        </is>
      </c>
      <c r="H703" t="inlineStr">
        <is>
          <t>No</t>
        </is>
      </c>
      <c r="I703" t="inlineStr">
        <is>
          <t>1</t>
        </is>
      </c>
      <c r="J703" t="inlineStr">
        <is>
          <t>No</t>
        </is>
      </c>
      <c r="K703" t="inlineStr">
        <is>
          <t>No</t>
        </is>
      </c>
      <c r="L703" t="inlineStr">
        <is>
          <t>0</t>
        </is>
      </c>
      <c r="M703" t="inlineStr">
        <is>
          <t>Sampedro, José Luis, 1917-2013.</t>
        </is>
      </c>
      <c r="N703" t="inlineStr">
        <is>
          <t>Madrid : Ediciones Alfaguara, 1985.</t>
        </is>
      </c>
      <c r="O703" t="inlineStr">
        <is>
          <t>1985</t>
        </is>
      </c>
      <c r="Q703" t="inlineStr">
        <is>
          <t>spa</t>
        </is>
      </c>
      <c r="R703" t="inlineStr">
        <is>
          <t xml:space="preserve">sp </t>
        </is>
      </c>
      <c r="S703" t="inlineStr">
        <is>
          <t>Literatura Alfaguara ; 165</t>
        </is>
      </c>
      <c r="T703" t="inlineStr">
        <is>
          <t xml:space="preserve">PQ </t>
        </is>
      </c>
      <c r="U703" t="n">
        <v>3</v>
      </c>
      <c r="V703" t="n">
        <v>3</v>
      </c>
      <c r="W703" t="inlineStr">
        <is>
          <t>2005-11-21</t>
        </is>
      </c>
      <c r="X703" t="inlineStr">
        <is>
          <t>2005-11-21</t>
        </is>
      </c>
      <c r="Y703" t="inlineStr">
        <is>
          <t>1991-07-19</t>
        </is>
      </c>
      <c r="Z703" t="inlineStr">
        <is>
          <t>1991-07-19</t>
        </is>
      </c>
      <c r="AA703" t="n">
        <v>101</v>
      </c>
      <c r="AB703" t="n">
        <v>76</v>
      </c>
      <c r="AC703" t="n">
        <v>216</v>
      </c>
      <c r="AD703" t="n">
        <v>2</v>
      </c>
      <c r="AE703" t="n">
        <v>2</v>
      </c>
      <c r="AF703" t="n">
        <v>4</v>
      </c>
      <c r="AG703" t="n">
        <v>10</v>
      </c>
      <c r="AH703" t="n">
        <v>0</v>
      </c>
      <c r="AI703" t="n">
        <v>3</v>
      </c>
      <c r="AJ703" t="n">
        <v>2</v>
      </c>
      <c r="AK703" t="n">
        <v>5</v>
      </c>
      <c r="AL703" t="n">
        <v>1</v>
      </c>
      <c r="AM703" t="n">
        <v>5</v>
      </c>
      <c r="AN703" t="n">
        <v>1</v>
      </c>
      <c r="AO703" t="n">
        <v>1</v>
      </c>
      <c r="AP703" t="n">
        <v>0</v>
      </c>
      <c r="AQ703" t="n">
        <v>0</v>
      </c>
      <c r="AR703" t="inlineStr">
        <is>
          <t>No</t>
        </is>
      </c>
      <c r="AS703" t="inlineStr">
        <is>
          <t>Yes</t>
        </is>
      </c>
      <c r="AT703">
        <f>HYPERLINK("http://catalog.hathitrust.org/Record/000439375","HathiTrust Record")</f>
        <v/>
      </c>
      <c r="AU703">
        <f>HYPERLINK("https://creighton-primo.hosted.exlibrisgroup.com/primo-explore/search?tab=default_tab&amp;search_scope=EVERYTHING&amp;vid=01CRU&amp;lang=en_US&amp;offset=0&amp;query=any,contains,991000708889702656","Catalog Record")</f>
        <v/>
      </c>
      <c r="AV703">
        <f>HYPERLINK("http://www.worldcat.org/oclc/14713096","WorldCat Record")</f>
        <v/>
      </c>
      <c r="AW703" t="inlineStr">
        <is>
          <t>348148849:spa</t>
        </is>
      </c>
      <c r="AX703" t="inlineStr">
        <is>
          <t>14713096</t>
        </is>
      </c>
      <c r="AY703" t="inlineStr">
        <is>
          <t>991000708889702656</t>
        </is>
      </c>
      <c r="AZ703" t="inlineStr">
        <is>
          <t>991000708889702656</t>
        </is>
      </c>
      <c r="BA703" t="inlineStr">
        <is>
          <t>2260505640002656</t>
        </is>
      </c>
      <c r="BB703" t="inlineStr">
        <is>
          <t>BOOK</t>
        </is>
      </c>
      <c r="BD703" t="inlineStr">
        <is>
          <t>9788420421803</t>
        </is>
      </c>
      <c r="BE703" t="inlineStr">
        <is>
          <t>32285000677236</t>
        </is>
      </c>
      <c r="BF703" t="inlineStr">
        <is>
          <t>893225229</t>
        </is>
      </c>
    </row>
    <row r="704">
      <c r="A704" t="inlineStr">
        <is>
          <t>No</t>
        </is>
      </c>
      <c r="B704" t="inlineStr">
        <is>
          <t>CURAL</t>
        </is>
      </c>
      <c r="C704" t="inlineStr">
        <is>
          <t>SHELVES</t>
        </is>
      </c>
      <c r="D704" t="inlineStr">
        <is>
          <t>PQ6635.E65 R4 1978</t>
        </is>
      </c>
      <c r="E704" t="inlineStr">
        <is>
          <t>0                      PQ 6635000E  65                 R  4           1978</t>
        </is>
      </c>
      <c r="F704" t="inlineStr">
        <is>
          <t>Réquiem por un campesino español / Ramón J. Sender.</t>
        </is>
      </c>
      <c r="H704" t="inlineStr">
        <is>
          <t>No</t>
        </is>
      </c>
      <c r="I704" t="inlineStr">
        <is>
          <t>1</t>
        </is>
      </c>
      <c r="J704" t="inlineStr">
        <is>
          <t>No</t>
        </is>
      </c>
      <c r="K704" t="inlineStr">
        <is>
          <t>No</t>
        </is>
      </c>
      <c r="L704" t="inlineStr">
        <is>
          <t>0</t>
        </is>
      </c>
      <c r="M704" t="inlineStr">
        <is>
          <t>Sender, Ramón José, 1901-1982.</t>
        </is>
      </c>
      <c r="N704" t="inlineStr">
        <is>
          <t>Barcelona : Ediciones Destino, 1978.</t>
        </is>
      </c>
      <c r="O704" t="inlineStr">
        <is>
          <t>1978</t>
        </is>
      </c>
      <c r="P704" t="inlineStr">
        <is>
          <t>7. ed.</t>
        </is>
      </c>
      <c r="Q704" t="inlineStr">
        <is>
          <t>spa</t>
        </is>
      </c>
      <c r="R704" t="inlineStr">
        <is>
          <t xml:space="preserve">sp </t>
        </is>
      </c>
      <c r="S704" t="inlineStr">
        <is>
          <t>Colección Ancora y delfín ; v. 460</t>
        </is>
      </c>
      <c r="T704" t="inlineStr">
        <is>
          <t xml:space="preserve">PQ </t>
        </is>
      </c>
      <c r="U704" t="n">
        <v>1</v>
      </c>
      <c r="V704" t="n">
        <v>1</v>
      </c>
      <c r="W704" t="inlineStr">
        <is>
          <t>1997-09-08</t>
        </is>
      </c>
      <c r="X704" t="inlineStr">
        <is>
          <t>1997-09-08</t>
        </is>
      </c>
      <c r="Y704" t="inlineStr">
        <is>
          <t>1991-07-19</t>
        </is>
      </c>
      <c r="Z704" t="inlineStr">
        <is>
          <t>1991-07-19</t>
        </is>
      </c>
      <c r="AA704" t="n">
        <v>32</v>
      </c>
      <c r="AB704" t="n">
        <v>23</v>
      </c>
      <c r="AC704" t="n">
        <v>825</v>
      </c>
      <c r="AD704" t="n">
        <v>1</v>
      </c>
      <c r="AE704" t="n">
        <v>7</v>
      </c>
      <c r="AF704" t="n">
        <v>0</v>
      </c>
      <c r="AG704" t="n">
        <v>34</v>
      </c>
      <c r="AH704" t="n">
        <v>0</v>
      </c>
      <c r="AI704" t="n">
        <v>11</v>
      </c>
      <c r="AJ704" t="n">
        <v>0</v>
      </c>
      <c r="AK704" t="n">
        <v>9</v>
      </c>
      <c r="AL704" t="n">
        <v>0</v>
      </c>
      <c r="AM704" t="n">
        <v>18</v>
      </c>
      <c r="AN704" t="n">
        <v>0</v>
      </c>
      <c r="AO704" t="n">
        <v>5</v>
      </c>
      <c r="AP704" t="n">
        <v>0</v>
      </c>
      <c r="AQ704" t="n">
        <v>0</v>
      </c>
      <c r="AR704" t="inlineStr">
        <is>
          <t>No</t>
        </is>
      </c>
      <c r="AS704" t="inlineStr">
        <is>
          <t>No</t>
        </is>
      </c>
      <c r="AU704">
        <f>HYPERLINK("https://creighton-primo.hosted.exlibrisgroup.com/primo-explore/search?tab=default_tab&amp;search_scope=EVERYTHING&amp;vid=01CRU&amp;lang=en_US&amp;offset=0&amp;query=any,contains,991004763879702656","Catalog Record")</f>
        <v/>
      </c>
      <c r="AV704">
        <f>HYPERLINK("http://www.worldcat.org/oclc/5020220","WorldCat Record")</f>
        <v/>
      </c>
      <c r="AW704" t="inlineStr">
        <is>
          <t>134073165:spa</t>
        </is>
      </c>
      <c r="AX704" t="inlineStr">
        <is>
          <t>5020220</t>
        </is>
      </c>
      <c r="AY704" t="inlineStr">
        <is>
          <t>991004763879702656</t>
        </is>
      </c>
      <c r="AZ704" t="inlineStr">
        <is>
          <t>991004763879702656</t>
        </is>
      </c>
      <c r="BA704" t="inlineStr">
        <is>
          <t>2258487510002656</t>
        </is>
      </c>
      <c r="BB704" t="inlineStr">
        <is>
          <t>BOOK</t>
        </is>
      </c>
      <c r="BD704" t="inlineStr">
        <is>
          <t>9788423309146</t>
        </is>
      </c>
      <c r="BE704" t="inlineStr">
        <is>
          <t>32285000677277</t>
        </is>
      </c>
      <c r="BF704" t="inlineStr">
        <is>
          <t>893895459</t>
        </is>
      </c>
    </row>
    <row r="705">
      <c r="A705" t="inlineStr">
        <is>
          <t>No</t>
        </is>
      </c>
      <c r="B705" t="inlineStr">
        <is>
          <t>CURAL</t>
        </is>
      </c>
      <c r="C705" t="inlineStr">
        <is>
          <t>SHELVES</t>
        </is>
      </c>
      <c r="D705" t="inlineStr">
        <is>
          <t>PQ6637.U3 E8 1979</t>
        </is>
      </c>
      <c r="E705" t="inlineStr">
        <is>
          <t>0                      PQ 6637000U  3                  E  8           1979</t>
        </is>
      </c>
      <c r="F705" t="inlineStr">
        <is>
          <t>Los españoles con el culo al aire / Mariano Tudela.</t>
        </is>
      </c>
      <c r="H705" t="inlineStr">
        <is>
          <t>No</t>
        </is>
      </c>
      <c r="I705" t="inlineStr">
        <is>
          <t>1</t>
        </is>
      </c>
      <c r="J705" t="inlineStr">
        <is>
          <t>No</t>
        </is>
      </c>
      <c r="K705" t="inlineStr">
        <is>
          <t>No</t>
        </is>
      </c>
      <c r="L705" t="inlineStr">
        <is>
          <t>0</t>
        </is>
      </c>
      <c r="M705" t="inlineStr">
        <is>
          <t>Tudela, Mariano.</t>
        </is>
      </c>
      <c r="N705" t="inlineStr">
        <is>
          <t>Madrid : Ediciones Albia, 1979.</t>
        </is>
      </c>
      <c r="O705" t="inlineStr">
        <is>
          <t>1979</t>
        </is>
      </c>
      <c r="Q705" t="inlineStr">
        <is>
          <t>spa</t>
        </is>
      </c>
      <c r="R705" t="inlineStr">
        <is>
          <t xml:space="preserve">xx </t>
        </is>
      </c>
      <c r="S705" t="inlineStr">
        <is>
          <t>Albia nova ; 9</t>
        </is>
      </c>
      <c r="T705" t="inlineStr">
        <is>
          <t xml:space="preserve">PQ </t>
        </is>
      </c>
      <c r="U705" t="n">
        <v>2</v>
      </c>
      <c r="V705" t="n">
        <v>2</v>
      </c>
      <c r="W705" t="inlineStr">
        <is>
          <t>1996-08-29</t>
        </is>
      </c>
      <c r="X705" t="inlineStr">
        <is>
          <t>1996-08-29</t>
        </is>
      </c>
      <c r="Y705" t="inlineStr">
        <is>
          <t>1991-07-19</t>
        </is>
      </c>
      <c r="Z705" t="inlineStr">
        <is>
          <t>1991-07-19</t>
        </is>
      </c>
      <c r="AA705" t="n">
        <v>28</v>
      </c>
      <c r="AB705" t="n">
        <v>19</v>
      </c>
      <c r="AC705" t="n">
        <v>19</v>
      </c>
      <c r="AD705" t="n">
        <v>1</v>
      </c>
      <c r="AE705" t="n">
        <v>1</v>
      </c>
      <c r="AF705" t="n">
        <v>1</v>
      </c>
      <c r="AG705" t="n">
        <v>1</v>
      </c>
      <c r="AH705" t="n">
        <v>1</v>
      </c>
      <c r="AI705" t="n">
        <v>1</v>
      </c>
      <c r="AJ705" t="n">
        <v>0</v>
      </c>
      <c r="AK705" t="n">
        <v>0</v>
      </c>
      <c r="AL705" t="n">
        <v>0</v>
      </c>
      <c r="AM705" t="n">
        <v>0</v>
      </c>
      <c r="AN705" t="n">
        <v>0</v>
      </c>
      <c r="AO705" t="n">
        <v>0</v>
      </c>
      <c r="AP705" t="n">
        <v>0</v>
      </c>
      <c r="AQ705" t="n">
        <v>0</v>
      </c>
      <c r="AR705" t="inlineStr">
        <is>
          <t>No</t>
        </is>
      </c>
      <c r="AS705" t="inlineStr">
        <is>
          <t>No</t>
        </is>
      </c>
      <c r="AU705">
        <f>HYPERLINK("https://creighton-primo.hosted.exlibrisgroup.com/primo-explore/search?tab=default_tab&amp;search_scope=EVERYTHING&amp;vid=01CRU&amp;lang=en_US&amp;offset=0&amp;query=any,contains,991004958149702656","Catalog Record")</f>
        <v/>
      </c>
      <c r="AV705">
        <f>HYPERLINK("http://www.worldcat.org/oclc/20217435","WorldCat Record")</f>
        <v/>
      </c>
      <c r="AW705" t="inlineStr">
        <is>
          <t>376203454:spa</t>
        </is>
      </c>
      <c r="AX705" t="inlineStr">
        <is>
          <t>20217435</t>
        </is>
      </c>
      <c r="AY705" t="inlineStr">
        <is>
          <t>991004958149702656</t>
        </is>
      </c>
      <c r="AZ705" t="inlineStr">
        <is>
          <t>991004958149702656</t>
        </is>
      </c>
      <c r="BA705" t="inlineStr">
        <is>
          <t>2271309910002656</t>
        </is>
      </c>
      <c r="BB705" t="inlineStr">
        <is>
          <t>BOOK</t>
        </is>
      </c>
      <c r="BD705" t="inlineStr">
        <is>
          <t>9788474362091</t>
        </is>
      </c>
      <c r="BE705" t="inlineStr">
        <is>
          <t>32285000677343</t>
        </is>
      </c>
      <c r="BF705" t="inlineStr">
        <is>
          <t>893612962</t>
        </is>
      </c>
    </row>
    <row r="706">
      <c r="A706" t="inlineStr">
        <is>
          <t>No</t>
        </is>
      </c>
      <c r="B706" t="inlineStr">
        <is>
          <t>CURAL</t>
        </is>
      </c>
      <c r="C706" t="inlineStr">
        <is>
          <t>SHELVES</t>
        </is>
      </c>
      <c r="D706" t="inlineStr">
        <is>
          <t>PQ6639.N3 Z4</t>
        </is>
      </c>
      <c r="E706" t="inlineStr">
        <is>
          <t>0                      PQ 6639000N  3                  Z  4</t>
        </is>
      </c>
      <c r="F706" t="inlineStr">
        <is>
          <t>La ontologia de Miguel de Unamumo / [Versión castellana de Cesáreo Goicoechea.</t>
        </is>
      </c>
      <c r="H706" t="inlineStr">
        <is>
          <t>No</t>
        </is>
      </c>
      <c r="I706" t="inlineStr">
        <is>
          <t>1</t>
        </is>
      </c>
      <c r="J706" t="inlineStr">
        <is>
          <t>No</t>
        </is>
      </c>
      <c r="K706" t="inlineStr">
        <is>
          <t>No</t>
        </is>
      </c>
      <c r="L706" t="inlineStr">
        <is>
          <t>0</t>
        </is>
      </c>
      <c r="M706" t="inlineStr">
        <is>
          <t>Meyer, François, 1912-2004.</t>
        </is>
      </c>
      <c r="N706" t="inlineStr">
        <is>
          <t>[Madrid] : Editorial Gredos [1962]</t>
        </is>
      </c>
      <c r="O706" t="inlineStr">
        <is>
          <t>1962</t>
        </is>
      </c>
      <c r="Q706" t="inlineStr">
        <is>
          <t>spa</t>
        </is>
      </c>
      <c r="R706" t="inlineStr">
        <is>
          <t xml:space="preserve">xx </t>
        </is>
      </c>
      <c r="S706" t="inlineStr">
        <is>
          <t>Manuales universitarios, 9</t>
        </is>
      </c>
      <c r="T706" t="inlineStr">
        <is>
          <t xml:space="preserve">PQ </t>
        </is>
      </c>
      <c r="U706" t="n">
        <v>1</v>
      </c>
      <c r="V706" t="n">
        <v>1</v>
      </c>
      <c r="W706" t="inlineStr">
        <is>
          <t>1999-02-07</t>
        </is>
      </c>
      <c r="X706" t="inlineStr">
        <is>
          <t>1999-02-07</t>
        </is>
      </c>
      <c r="Y706" t="inlineStr">
        <is>
          <t>1997-10-01</t>
        </is>
      </c>
      <c r="Z706" t="inlineStr">
        <is>
          <t>1997-10-01</t>
        </is>
      </c>
      <c r="AA706" t="n">
        <v>210</v>
      </c>
      <c r="AB706" t="n">
        <v>188</v>
      </c>
      <c r="AC706" t="n">
        <v>191</v>
      </c>
      <c r="AD706" t="n">
        <v>2</v>
      </c>
      <c r="AE706" t="n">
        <v>2</v>
      </c>
      <c r="AF706" t="n">
        <v>7</v>
      </c>
      <c r="AG706" t="n">
        <v>7</v>
      </c>
      <c r="AH706" t="n">
        <v>1</v>
      </c>
      <c r="AI706" t="n">
        <v>1</v>
      </c>
      <c r="AJ706" t="n">
        <v>2</v>
      </c>
      <c r="AK706" t="n">
        <v>2</v>
      </c>
      <c r="AL706" t="n">
        <v>4</v>
      </c>
      <c r="AM706" t="n">
        <v>4</v>
      </c>
      <c r="AN706" t="n">
        <v>1</v>
      </c>
      <c r="AO706" t="n">
        <v>1</v>
      </c>
      <c r="AP706" t="n">
        <v>0</v>
      </c>
      <c r="AQ706" t="n">
        <v>0</v>
      </c>
      <c r="AR706" t="inlineStr">
        <is>
          <t>No</t>
        </is>
      </c>
      <c r="AS706" t="inlineStr">
        <is>
          <t>Yes</t>
        </is>
      </c>
      <c r="AT706">
        <f>HYPERLINK("http://catalog.hathitrust.org/Record/001918332","HathiTrust Record")</f>
        <v/>
      </c>
      <c r="AU706">
        <f>HYPERLINK("https://creighton-primo.hosted.exlibrisgroup.com/primo-explore/search?tab=default_tab&amp;search_scope=EVERYTHING&amp;vid=01CRU&amp;lang=en_US&amp;offset=0&amp;query=any,contains,991003008939702656","Catalog Record")</f>
        <v/>
      </c>
      <c r="AV706">
        <f>HYPERLINK("http://www.worldcat.org/oclc/576347","WorldCat Record")</f>
        <v/>
      </c>
      <c r="AW706" t="inlineStr">
        <is>
          <t>368028627:spa</t>
        </is>
      </c>
      <c r="AX706" t="inlineStr">
        <is>
          <t>576347</t>
        </is>
      </c>
      <c r="AY706" t="inlineStr">
        <is>
          <t>991003008939702656</t>
        </is>
      </c>
      <c r="AZ706" t="inlineStr">
        <is>
          <t>991003008939702656</t>
        </is>
      </c>
      <c r="BA706" t="inlineStr">
        <is>
          <t>2257267660002656</t>
        </is>
      </c>
      <c r="BB706" t="inlineStr">
        <is>
          <t>BOOK</t>
        </is>
      </c>
      <c r="BE706" t="inlineStr">
        <is>
          <t>32285003236196</t>
        </is>
      </c>
      <c r="BF706" t="inlineStr">
        <is>
          <t>893434559</t>
        </is>
      </c>
    </row>
    <row r="707">
      <c r="A707" t="inlineStr">
        <is>
          <t>No</t>
        </is>
      </c>
      <c r="B707" t="inlineStr">
        <is>
          <t>CURAL</t>
        </is>
      </c>
      <c r="C707" t="inlineStr">
        <is>
          <t>SHELVES</t>
        </is>
      </c>
      <c r="D707" t="inlineStr">
        <is>
          <t>PQ6639.N3 Z612 1970</t>
        </is>
      </c>
      <c r="E707" t="inlineStr">
        <is>
          <t>0                      PQ 6639000N  3                  Z  612         1970</t>
        </is>
      </c>
      <c r="F707" t="inlineStr">
        <is>
          <t>Unamuno y América / Julio Cesar Chaves ; prólogo: Joaquín Ruiz-Giménez.</t>
        </is>
      </c>
      <c r="H707" t="inlineStr">
        <is>
          <t>No</t>
        </is>
      </c>
      <c r="I707" t="inlineStr">
        <is>
          <t>1</t>
        </is>
      </c>
      <c r="J707" t="inlineStr">
        <is>
          <t>No</t>
        </is>
      </c>
      <c r="K707" t="inlineStr">
        <is>
          <t>No</t>
        </is>
      </c>
      <c r="L707" t="inlineStr">
        <is>
          <t>0</t>
        </is>
      </c>
      <c r="M707" t="inlineStr">
        <is>
          <t>Chaves, Julio César.</t>
        </is>
      </c>
      <c r="N707" t="inlineStr">
        <is>
          <t>Madrid : Ediciones Cultura Hispánica, 1970.</t>
        </is>
      </c>
      <c r="O707" t="inlineStr">
        <is>
          <t>1970</t>
        </is>
      </c>
      <c r="P707" t="inlineStr">
        <is>
          <t>2. ed.</t>
        </is>
      </c>
      <c r="Q707" t="inlineStr">
        <is>
          <t>spa</t>
        </is>
      </c>
      <c r="R707" t="inlineStr">
        <is>
          <t xml:space="preserve">sp </t>
        </is>
      </c>
      <c r="T707" t="inlineStr">
        <is>
          <t xml:space="preserve">PQ </t>
        </is>
      </c>
      <c r="U707" t="n">
        <v>1</v>
      </c>
      <c r="V707" t="n">
        <v>1</v>
      </c>
      <c r="W707" t="inlineStr">
        <is>
          <t>2005-03-02</t>
        </is>
      </c>
      <c r="X707" t="inlineStr">
        <is>
          <t>2005-03-02</t>
        </is>
      </c>
      <c r="Y707" t="inlineStr">
        <is>
          <t>2005-03-02</t>
        </is>
      </c>
      <c r="Z707" t="inlineStr">
        <is>
          <t>2005-03-02</t>
        </is>
      </c>
      <c r="AA707" t="n">
        <v>101</v>
      </c>
      <c r="AB707" t="n">
        <v>77</v>
      </c>
      <c r="AC707" t="n">
        <v>209</v>
      </c>
      <c r="AD707" t="n">
        <v>1</v>
      </c>
      <c r="AE707" t="n">
        <v>2</v>
      </c>
      <c r="AF707" t="n">
        <v>4</v>
      </c>
      <c r="AG707" t="n">
        <v>13</v>
      </c>
      <c r="AH707" t="n">
        <v>1</v>
      </c>
      <c r="AI707" t="n">
        <v>2</v>
      </c>
      <c r="AJ707" t="n">
        <v>2</v>
      </c>
      <c r="AK707" t="n">
        <v>4</v>
      </c>
      <c r="AL707" t="n">
        <v>2</v>
      </c>
      <c r="AM707" t="n">
        <v>9</v>
      </c>
      <c r="AN707" t="n">
        <v>0</v>
      </c>
      <c r="AO707" t="n">
        <v>1</v>
      </c>
      <c r="AP707" t="n">
        <v>0</v>
      </c>
      <c r="AQ707" t="n">
        <v>0</v>
      </c>
      <c r="AR707" t="inlineStr">
        <is>
          <t>No</t>
        </is>
      </c>
      <c r="AS707" t="inlineStr">
        <is>
          <t>Yes</t>
        </is>
      </c>
      <c r="AT707">
        <f>HYPERLINK("http://catalog.hathitrust.org/Record/009965142","HathiTrust Record")</f>
        <v/>
      </c>
      <c r="AU707">
        <f>HYPERLINK("https://creighton-primo.hosted.exlibrisgroup.com/primo-explore/search?tab=default_tab&amp;search_scope=EVERYTHING&amp;vid=01CRU&amp;lang=en_US&amp;offset=0&amp;query=any,contains,991004490989702656","Catalog Record")</f>
        <v/>
      </c>
      <c r="AV707">
        <f>HYPERLINK("http://www.worldcat.org/oclc/500404","WorldCat Record")</f>
        <v/>
      </c>
      <c r="AW707" t="inlineStr">
        <is>
          <t>1428408:spa</t>
        </is>
      </c>
      <c r="AX707" t="inlineStr">
        <is>
          <t>500404</t>
        </is>
      </c>
      <c r="AY707" t="inlineStr">
        <is>
          <t>991004490989702656</t>
        </is>
      </c>
      <c r="AZ707" t="inlineStr">
        <is>
          <t>991004490989702656</t>
        </is>
      </c>
      <c r="BA707" t="inlineStr">
        <is>
          <t>2255324180002656</t>
        </is>
      </c>
      <c r="BB707" t="inlineStr">
        <is>
          <t>BOOK</t>
        </is>
      </c>
      <c r="BE707" t="inlineStr">
        <is>
          <t>32285005029003</t>
        </is>
      </c>
      <c r="BF707" t="inlineStr">
        <is>
          <t>893513295</t>
        </is>
      </c>
    </row>
    <row r="708">
      <c r="A708" t="inlineStr">
        <is>
          <t>No</t>
        </is>
      </c>
      <c r="B708" t="inlineStr">
        <is>
          <t>CURAL</t>
        </is>
      </c>
      <c r="C708" t="inlineStr">
        <is>
          <t>SHELVES</t>
        </is>
      </c>
      <c r="D708" t="inlineStr">
        <is>
          <t>PQ6639.N3 Z79</t>
        </is>
      </c>
      <c r="E708" t="inlineStr">
        <is>
          <t>0                      PQ 6639000N  3                  Z  79</t>
        </is>
      </c>
      <c r="F708" t="inlineStr">
        <is>
          <t>Miguel de Unamuno.</t>
        </is>
      </c>
      <c r="H708" t="inlineStr">
        <is>
          <t>No</t>
        </is>
      </c>
      <c r="I708" t="inlineStr">
        <is>
          <t>1</t>
        </is>
      </c>
      <c r="J708" t="inlineStr">
        <is>
          <t>No</t>
        </is>
      </c>
      <c r="K708" t="inlineStr">
        <is>
          <t>No</t>
        </is>
      </c>
      <c r="L708" t="inlineStr">
        <is>
          <t>0</t>
        </is>
      </c>
      <c r="M708" t="inlineStr">
        <is>
          <t>Marías, Julián, 1914-2005.</t>
        </is>
      </c>
      <c r="N708" t="inlineStr">
        <is>
          <t>Madrid, Espasa-Calpe, s. a., 1943.</t>
        </is>
      </c>
      <c r="O708" t="inlineStr">
        <is>
          <t>1943</t>
        </is>
      </c>
      <c r="Q708" t="inlineStr">
        <is>
          <t>spa</t>
        </is>
      </c>
      <c r="R708" t="inlineStr">
        <is>
          <t xml:space="preserve">sp </t>
        </is>
      </c>
      <c r="T708" t="inlineStr">
        <is>
          <t xml:space="preserve">PQ </t>
        </is>
      </c>
      <c r="U708" t="n">
        <v>2</v>
      </c>
      <c r="V708" t="n">
        <v>2</v>
      </c>
      <c r="W708" t="inlineStr">
        <is>
          <t>1999-02-07</t>
        </is>
      </c>
      <c r="X708" t="inlineStr">
        <is>
          <t>1999-02-07</t>
        </is>
      </c>
      <c r="Y708" t="inlineStr">
        <is>
          <t>1997-10-01</t>
        </is>
      </c>
      <c r="Z708" t="inlineStr">
        <is>
          <t>1997-10-01</t>
        </is>
      </c>
      <c r="AA708" t="n">
        <v>99</v>
      </c>
      <c r="AB708" t="n">
        <v>85</v>
      </c>
      <c r="AC708" t="n">
        <v>459</v>
      </c>
      <c r="AD708" t="n">
        <v>1</v>
      </c>
      <c r="AE708" t="n">
        <v>4</v>
      </c>
      <c r="AF708" t="n">
        <v>5</v>
      </c>
      <c r="AG708" t="n">
        <v>22</v>
      </c>
      <c r="AH708" t="n">
        <v>2</v>
      </c>
      <c r="AI708" t="n">
        <v>8</v>
      </c>
      <c r="AJ708" t="n">
        <v>2</v>
      </c>
      <c r="AK708" t="n">
        <v>8</v>
      </c>
      <c r="AL708" t="n">
        <v>3</v>
      </c>
      <c r="AM708" t="n">
        <v>9</v>
      </c>
      <c r="AN708" t="n">
        <v>0</v>
      </c>
      <c r="AO708" t="n">
        <v>2</v>
      </c>
      <c r="AP708" t="n">
        <v>0</v>
      </c>
      <c r="AQ708" t="n">
        <v>0</v>
      </c>
      <c r="AR708" t="inlineStr">
        <is>
          <t>No</t>
        </is>
      </c>
      <c r="AS708" t="inlineStr">
        <is>
          <t>Yes</t>
        </is>
      </c>
      <c r="AT708">
        <f>HYPERLINK("http://catalog.hathitrust.org/Record/006233896","HathiTrust Record")</f>
        <v/>
      </c>
      <c r="AU708">
        <f>HYPERLINK("https://creighton-primo.hosted.exlibrisgroup.com/primo-explore/search?tab=default_tab&amp;search_scope=EVERYTHING&amp;vid=01CRU&amp;lang=en_US&amp;offset=0&amp;query=any,contains,991004735249702656","Catalog Record")</f>
        <v/>
      </c>
      <c r="AV708">
        <f>HYPERLINK("http://www.worldcat.org/oclc/39535802","WorldCat Record")</f>
        <v/>
      </c>
      <c r="AW708" t="inlineStr">
        <is>
          <t>196622259:spa</t>
        </is>
      </c>
      <c r="AX708" t="inlineStr">
        <is>
          <t>39535802</t>
        </is>
      </c>
      <c r="AY708" t="inlineStr">
        <is>
          <t>991004735249702656</t>
        </is>
      </c>
      <c r="AZ708" t="inlineStr">
        <is>
          <t>991004735249702656</t>
        </is>
      </c>
      <c r="BA708" t="inlineStr">
        <is>
          <t>2267461770002656</t>
        </is>
      </c>
      <c r="BB708" t="inlineStr">
        <is>
          <t>BOOK</t>
        </is>
      </c>
      <c r="BE708" t="inlineStr">
        <is>
          <t>32285003236261</t>
        </is>
      </c>
      <c r="BF708" t="inlineStr">
        <is>
          <t>893344190</t>
        </is>
      </c>
    </row>
    <row r="709">
      <c r="A709" t="inlineStr">
        <is>
          <t>No</t>
        </is>
      </c>
      <c r="B709" t="inlineStr">
        <is>
          <t>CURAL</t>
        </is>
      </c>
      <c r="C709" t="inlineStr">
        <is>
          <t>SHELVES</t>
        </is>
      </c>
      <c r="D709" t="inlineStr">
        <is>
          <t>PQ6639.N3 Z8758</t>
        </is>
      </c>
      <c r="E709" t="inlineStr">
        <is>
          <t>0                      PQ 6639000N  3                  Z  8758</t>
        </is>
      </c>
      <c r="F709" t="inlineStr">
        <is>
          <t>Unamuno: creator and creation. Edited by José Rubia Barcia and M. A. Zeitlin.</t>
        </is>
      </c>
      <c r="H709" t="inlineStr">
        <is>
          <t>No</t>
        </is>
      </c>
      <c r="I709" t="inlineStr">
        <is>
          <t>1</t>
        </is>
      </c>
      <c r="J709" t="inlineStr">
        <is>
          <t>No</t>
        </is>
      </c>
      <c r="K709" t="inlineStr">
        <is>
          <t>No</t>
        </is>
      </c>
      <c r="L709" t="inlineStr">
        <is>
          <t>0</t>
        </is>
      </c>
      <c r="N709" t="inlineStr">
        <is>
          <t>Berkeley, University of California Press, 1967.</t>
        </is>
      </c>
      <c r="O709" t="inlineStr">
        <is>
          <t>1967</t>
        </is>
      </c>
      <c r="Q709" t="inlineStr">
        <is>
          <t>eng</t>
        </is>
      </c>
      <c r="R709" t="inlineStr">
        <is>
          <t>cau</t>
        </is>
      </c>
      <c r="T709" t="inlineStr">
        <is>
          <t xml:space="preserve">PQ </t>
        </is>
      </c>
      <c r="U709" t="n">
        <v>2</v>
      </c>
      <c r="V709" t="n">
        <v>2</v>
      </c>
      <c r="W709" t="inlineStr">
        <is>
          <t>1999-02-07</t>
        </is>
      </c>
      <c r="X709" t="inlineStr">
        <is>
          <t>1999-02-07</t>
        </is>
      </c>
      <c r="Y709" t="inlineStr">
        <is>
          <t>1997-08-21</t>
        </is>
      </c>
      <c r="Z709" t="inlineStr">
        <is>
          <t>1997-08-21</t>
        </is>
      </c>
      <c r="AA709" t="n">
        <v>750</v>
      </c>
      <c r="AB709" t="n">
        <v>683</v>
      </c>
      <c r="AC709" t="n">
        <v>694</v>
      </c>
      <c r="AD709" t="n">
        <v>7</v>
      </c>
      <c r="AE709" t="n">
        <v>7</v>
      </c>
      <c r="AF709" t="n">
        <v>32</v>
      </c>
      <c r="AG709" t="n">
        <v>32</v>
      </c>
      <c r="AH709" t="n">
        <v>8</v>
      </c>
      <c r="AI709" t="n">
        <v>8</v>
      </c>
      <c r="AJ709" t="n">
        <v>7</v>
      </c>
      <c r="AK709" t="n">
        <v>7</v>
      </c>
      <c r="AL709" t="n">
        <v>18</v>
      </c>
      <c r="AM709" t="n">
        <v>18</v>
      </c>
      <c r="AN709" t="n">
        <v>6</v>
      </c>
      <c r="AO709" t="n">
        <v>6</v>
      </c>
      <c r="AP709" t="n">
        <v>0</v>
      </c>
      <c r="AQ709" t="n">
        <v>0</v>
      </c>
      <c r="AR709" t="inlineStr">
        <is>
          <t>No</t>
        </is>
      </c>
      <c r="AS709" t="inlineStr">
        <is>
          <t>Yes</t>
        </is>
      </c>
      <c r="AT709">
        <f>HYPERLINK("http://catalog.hathitrust.org/Record/001016080","HathiTrust Record")</f>
        <v/>
      </c>
      <c r="AU709">
        <f>HYPERLINK("https://creighton-primo.hosted.exlibrisgroup.com/primo-explore/search?tab=default_tab&amp;search_scope=EVERYTHING&amp;vid=01CRU&amp;lang=en_US&amp;offset=0&amp;query=any,contains,991002431599702656","Catalog Record")</f>
        <v/>
      </c>
      <c r="AV709">
        <f>HYPERLINK("http://www.worldcat.org/oclc/347325","WorldCat Record")</f>
        <v/>
      </c>
      <c r="AW709" t="inlineStr">
        <is>
          <t>1499318:eng</t>
        </is>
      </c>
      <c r="AX709" t="inlineStr">
        <is>
          <t>347325</t>
        </is>
      </c>
      <c r="AY709" t="inlineStr">
        <is>
          <t>991002431599702656</t>
        </is>
      </c>
      <c r="AZ709" t="inlineStr">
        <is>
          <t>991002431599702656</t>
        </is>
      </c>
      <c r="BA709" t="inlineStr">
        <is>
          <t>2272430370002656</t>
        </is>
      </c>
      <c r="BB709" t="inlineStr">
        <is>
          <t>BOOK</t>
        </is>
      </c>
      <c r="BE709" t="inlineStr">
        <is>
          <t>32285003137485</t>
        </is>
      </c>
      <c r="BF709" t="inlineStr">
        <is>
          <t>893409090</t>
        </is>
      </c>
    </row>
    <row r="710">
      <c r="A710" t="inlineStr">
        <is>
          <t>No</t>
        </is>
      </c>
      <c r="B710" t="inlineStr">
        <is>
          <t>CURAL</t>
        </is>
      </c>
      <c r="C710" t="inlineStr">
        <is>
          <t>SHELVES</t>
        </is>
      </c>
      <c r="D710" t="inlineStr">
        <is>
          <t>PQ6641.A365 A6 1991</t>
        </is>
      </c>
      <c r="E710" t="inlineStr">
        <is>
          <t>0                      PQ 6641000A  365                A  6           1991</t>
        </is>
      </c>
      <c r="F710" t="inlineStr">
        <is>
          <t>Variaciones sobre el paajaro y la red, precedido de, La piedra y el centro / Josae Angel Valente.</t>
        </is>
      </c>
      <c r="H710" t="inlineStr">
        <is>
          <t>No</t>
        </is>
      </c>
      <c r="I710" t="inlineStr">
        <is>
          <t>1</t>
        </is>
      </c>
      <c r="J710" t="inlineStr">
        <is>
          <t>No</t>
        </is>
      </c>
      <c r="K710" t="inlineStr">
        <is>
          <t>No</t>
        </is>
      </c>
      <c r="L710" t="inlineStr">
        <is>
          <t>0</t>
        </is>
      </c>
      <c r="M710" t="inlineStr">
        <is>
          <t>Valente, Josae Angel.</t>
        </is>
      </c>
      <c r="N710" t="inlineStr">
        <is>
          <t>Barcelona : Tusquets, 1991.</t>
        </is>
      </c>
      <c r="O710" t="inlineStr">
        <is>
          <t>1991</t>
        </is>
      </c>
      <c r="P710" t="inlineStr">
        <is>
          <t>1. ed.</t>
        </is>
      </c>
      <c r="Q710" t="inlineStr">
        <is>
          <t>spa</t>
        </is>
      </c>
      <c r="R710" t="inlineStr">
        <is>
          <t xml:space="preserve">sp </t>
        </is>
      </c>
      <c r="S710" t="inlineStr">
        <is>
          <t>Marginales ; 114</t>
        </is>
      </c>
      <c r="T710" t="inlineStr">
        <is>
          <t xml:space="preserve">PQ </t>
        </is>
      </c>
      <c r="U710" t="n">
        <v>1</v>
      </c>
      <c r="V710" t="n">
        <v>1</v>
      </c>
      <c r="W710" t="inlineStr">
        <is>
          <t>2004-09-27</t>
        </is>
      </c>
      <c r="X710" t="inlineStr">
        <is>
          <t>2004-09-27</t>
        </is>
      </c>
      <c r="Y710" t="inlineStr">
        <is>
          <t>2004-09-27</t>
        </is>
      </c>
      <c r="Z710" t="inlineStr">
        <is>
          <t>2004-09-27</t>
        </is>
      </c>
      <c r="AA710" t="n">
        <v>83</v>
      </c>
      <c r="AB710" t="n">
        <v>54</v>
      </c>
      <c r="AC710" t="n">
        <v>69</v>
      </c>
      <c r="AD710" t="n">
        <v>1</v>
      </c>
      <c r="AE710" t="n">
        <v>1</v>
      </c>
      <c r="AF710" t="n">
        <v>1</v>
      </c>
      <c r="AG710" t="n">
        <v>1</v>
      </c>
      <c r="AH710" t="n">
        <v>0</v>
      </c>
      <c r="AI710" t="n">
        <v>0</v>
      </c>
      <c r="AJ710" t="n">
        <v>1</v>
      </c>
      <c r="AK710" t="n">
        <v>1</v>
      </c>
      <c r="AL710" t="n">
        <v>1</v>
      </c>
      <c r="AM710" t="n">
        <v>1</v>
      </c>
      <c r="AN710" t="n">
        <v>0</v>
      </c>
      <c r="AO710" t="n">
        <v>0</v>
      </c>
      <c r="AP710" t="n">
        <v>0</v>
      </c>
      <c r="AQ710" t="n">
        <v>0</v>
      </c>
      <c r="AR710" t="inlineStr">
        <is>
          <t>No</t>
        </is>
      </c>
      <c r="AS710" t="inlineStr">
        <is>
          <t>Yes</t>
        </is>
      </c>
      <c r="AT710">
        <f>HYPERLINK("http://catalog.hathitrust.org/Record/002525987","HathiTrust Record")</f>
        <v/>
      </c>
      <c r="AU710">
        <f>HYPERLINK("https://creighton-primo.hosted.exlibrisgroup.com/primo-explore/search?tab=default_tab&amp;search_scope=EVERYTHING&amp;vid=01CRU&amp;lang=en_US&amp;offset=0&amp;query=any,contains,991004345539702656","Catalog Record")</f>
        <v/>
      </c>
      <c r="AV710">
        <f>HYPERLINK("http://www.worldcat.org/oclc/25663609","WorldCat Record")</f>
        <v/>
      </c>
      <c r="AW710" t="inlineStr">
        <is>
          <t>427287072:spa</t>
        </is>
      </c>
      <c r="AX710" t="inlineStr">
        <is>
          <t>25663609</t>
        </is>
      </c>
      <c r="AY710" t="inlineStr">
        <is>
          <t>991004345539702656</t>
        </is>
      </c>
      <c r="AZ710" t="inlineStr">
        <is>
          <t>991004345539702656</t>
        </is>
      </c>
      <c r="BA710" t="inlineStr">
        <is>
          <t>2267069600002656</t>
        </is>
      </c>
      <c r="BB710" t="inlineStr">
        <is>
          <t>BOOK</t>
        </is>
      </c>
      <c r="BD710" t="inlineStr">
        <is>
          <t>9788472233898</t>
        </is>
      </c>
      <c r="BE710" t="inlineStr">
        <is>
          <t>32285004989306</t>
        </is>
      </c>
      <c r="BF710" t="inlineStr">
        <is>
          <t>893353346</t>
        </is>
      </c>
    </row>
    <row r="711">
      <c r="A711" t="inlineStr">
        <is>
          <t>No</t>
        </is>
      </c>
      <c r="B711" t="inlineStr">
        <is>
          <t>CURAL</t>
        </is>
      </c>
      <c r="C711" t="inlineStr">
        <is>
          <t>SHELVES</t>
        </is>
      </c>
      <c r="D711" t="inlineStr">
        <is>
          <t>PQ6641.A365 F5 1995</t>
        </is>
      </c>
      <c r="E711" t="inlineStr">
        <is>
          <t>0                      PQ 6641000A  365                F  5           1995</t>
        </is>
      </c>
      <c r="F711" t="inlineStr">
        <is>
          <t>El fin de la edad de plata ; seguido de Nueve enunciaciones / Josae Angel Valente.</t>
        </is>
      </c>
      <c r="H711" t="inlineStr">
        <is>
          <t>No</t>
        </is>
      </c>
      <c r="I711" t="inlineStr">
        <is>
          <t>1</t>
        </is>
      </c>
      <c r="J711" t="inlineStr">
        <is>
          <t>No</t>
        </is>
      </c>
      <c r="K711" t="inlineStr">
        <is>
          <t>No</t>
        </is>
      </c>
      <c r="L711" t="inlineStr">
        <is>
          <t>0</t>
        </is>
      </c>
      <c r="M711" t="inlineStr">
        <is>
          <t>Valente, Josae Angel.</t>
        </is>
      </c>
      <c r="N711" t="inlineStr">
        <is>
          <t>Barcelona : Tusquets Editores, 1995.</t>
        </is>
      </c>
      <c r="O711" t="inlineStr">
        <is>
          <t>1995</t>
        </is>
      </c>
      <c r="P711" t="inlineStr">
        <is>
          <t>1. ed.</t>
        </is>
      </c>
      <c r="Q711" t="inlineStr">
        <is>
          <t>spa</t>
        </is>
      </c>
      <c r="R711" t="inlineStr">
        <is>
          <t xml:space="preserve">sp </t>
        </is>
      </c>
      <c r="S711" t="inlineStr">
        <is>
          <t>Marginales ; 143</t>
        </is>
      </c>
      <c r="T711" t="inlineStr">
        <is>
          <t xml:space="preserve">PQ </t>
        </is>
      </c>
      <c r="U711" t="n">
        <v>1</v>
      </c>
      <c r="V711" t="n">
        <v>1</v>
      </c>
      <c r="W711" t="inlineStr">
        <is>
          <t>2004-09-27</t>
        </is>
      </c>
      <c r="X711" t="inlineStr">
        <is>
          <t>2004-09-27</t>
        </is>
      </c>
      <c r="Y711" t="inlineStr">
        <is>
          <t>2004-09-27</t>
        </is>
      </c>
      <c r="Z711" t="inlineStr">
        <is>
          <t>2004-09-27</t>
        </is>
      </c>
      <c r="AA711" t="n">
        <v>69</v>
      </c>
      <c r="AB711" t="n">
        <v>49</v>
      </c>
      <c r="AC711" t="n">
        <v>53</v>
      </c>
      <c r="AD711" t="n">
        <v>1</v>
      </c>
      <c r="AE711" t="n">
        <v>1</v>
      </c>
      <c r="AF711" t="n">
        <v>0</v>
      </c>
      <c r="AG711" t="n">
        <v>0</v>
      </c>
      <c r="AH711" t="n">
        <v>0</v>
      </c>
      <c r="AI711" t="n">
        <v>0</v>
      </c>
      <c r="AJ711" t="n">
        <v>0</v>
      </c>
      <c r="AK711" t="n">
        <v>0</v>
      </c>
      <c r="AL711" t="n">
        <v>0</v>
      </c>
      <c r="AM711" t="n">
        <v>0</v>
      </c>
      <c r="AN711" t="n">
        <v>0</v>
      </c>
      <c r="AO711" t="n">
        <v>0</v>
      </c>
      <c r="AP711" t="n">
        <v>0</v>
      </c>
      <c r="AQ711" t="n">
        <v>0</v>
      </c>
      <c r="AR711" t="inlineStr">
        <is>
          <t>No</t>
        </is>
      </c>
      <c r="AS711" t="inlineStr">
        <is>
          <t>Yes</t>
        </is>
      </c>
      <c r="AT711">
        <f>HYPERLINK("http://catalog.hathitrust.org/Record/003065655","HathiTrust Record")</f>
        <v/>
      </c>
      <c r="AU711">
        <f>HYPERLINK("https://creighton-primo.hosted.exlibrisgroup.com/primo-explore/search?tab=default_tab&amp;search_scope=EVERYTHING&amp;vid=01CRU&amp;lang=en_US&amp;offset=0&amp;query=any,contains,991004345459702656","Catalog Record")</f>
        <v/>
      </c>
      <c r="AV711">
        <f>HYPERLINK("http://www.worldcat.org/oclc/36671597","WorldCat Record")</f>
        <v/>
      </c>
      <c r="AW711" t="inlineStr">
        <is>
          <t>502735417:spa</t>
        </is>
      </c>
      <c r="AX711" t="inlineStr">
        <is>
          <t>36671597</t>
        </is>
      </c>
      <c r="AY711" t="inlineStr">
        <is>
          <t>991004345459702656</t>
        </is>
      </c>
      <c r="AZ711" t="inlineStr">
        <is>
          <t>991004345459702656</t>
        </is>
      </c>
      <c r="BA711" t="inlineStr">
        <is>
          <t>2262205480002656</t>
        </is>
      </c>
      <c r="BB711" t="inlineStr">
        <is>
          <t>BOOK</t>
        </is>
      </c>
      <c r="BD711" t="inlineStr">
        <is>
          <t>9788472239265</t>
        </is>
      </c>
      <c r="BE711" t="inlineStr">
        <is>
          <t>32285004989298</t>
        </is>
      </c>
      <c r="BF711" t="inlineStr">
        <is>
          <t>893875988</t>
        </is>
      </c>
    </row>
    <row r="712">
      <c r="A712" t="inlineStr">
        <is>
          <t>No</t>
        </is>
      </c>
      <c r="B712" t="inlineStr">
        <is>
          <t>CURAL</t>
        </is>
      </c>
      <c r="C712" t="inlineStr">
        <is>
          <t>SHELVES</t>
        </is>
      </c>
      <c r="D712" t="inlineStr">
        <is>
          <t>PQ6641.A47 L8393 1969</t>
        </is>
      </c>
      <c r="E712" t="inlineStr">
        <is>
          <t>0                      PQ 6641000A  47                 L  8393        1969</t>
        </is>
      </c>
      <c r="F712" t="inlineStr">
        <is>
          <t>La realidad esperpéntica : (aproximación a Luces de Bohemia) / Alonso Zamora Vicente.</t>
        </is>
      </c>
      <c r="H712" t="inlineStr">
        <is>
          <t>No</t>
        </is>
      </c>
      <c r="I712" t="inlineStr">
        <is>
          <t>1</t>
        </is>
      </c>
      <c r="J712" t="inlineStr">
        <is>
          <t>No</t>
        </is>
      </c>
      <c r="K712" t="inlineStr">
        <is>
          <t>No</t>
        </is>
      </c>
      <c r="L712" t="inlineStr">
        <is>
          <t>0</t>
        </is>
      </c>
      <c r="M712" t="inlineStr">
        <is>
          <t>Zamora Vicente, Alonso.</t>
        </is>
      </c>
      <c r="N712" t="inlineStr">
        <is>
          <t>Madrid : Editorial Gredos, [1969]</t>
        </is>
      </c>
      <c r="O712" t="inlineStr">
        <is>
          <t>1969</t>
        </is>
      </c>
      <c r="Q712" t="inlineStr">
        <is>
          <t>spa</t>
        </is>
      </c>
      <c r="R712" t="inlineStr">
        <is>
          <t xml:space="preserve">sp </t>
        </is>
      </c>
      <c r="S712" t="inlineStr">
        <is>
          <t>Biblioteca románica hispánica. 2. Estudios y ensayos, 123</t>
        </is>
      </c>
      <c r="T712" t="inlineStr">
        <is>
          <t xml:space="preserve">PQ </t>
        </is>
      </c>
      <c r="U712" t="n">
        <v>1</v>
      </c>
      <c r="V712" t="n">
        <v>1</v>
      </c>
      <c r="W712" t="inlineStr">
        <is>
          <t>2005-03-22</t>
        </is>
      </c>
      <c r="X712" t="inlineStr">
        <is>
          <t>2005-03-22</t>
        </is>
      </c>
      <c r="Y712" t="inlineStr">
        <is>
          <t>2005-03-22</t>
        </is>
      </c>
      <c r="Z712" t="inlineStr">
        <is>
          <t>2005-03-22</t>
        </is>
      </c>
      <c r="AA712" t="n">
        <v>353</v>
      </c>
      <c r="AB712" t="n">
        <v>292</v>
      </c>
      <c r="AC712" t="n">
        <v>294</v>
      </c>
      <c r="AD712" t="n">
        <v>3</v>
      </c>
      <c r="AE712" t="n">
        <v>3</v>
      </c>
      <c r="AF712" t="n">
        <v>11</v>
      </c>
      <c r="AG712" t="n">
        <v>11</v>
      </c>
      <c r="AH712" t="n">
        <v>2</v>
      </c>
      <c r="AI712" t="n">
        <v>2</v>
      </c>
      <c r="AJ712" t="n">
        <v>3</v>
      </c>
      <c r="AK712" t="n">
        <v>3</v>
      </c>
      <c r="AL712" t="n">
        <v>5</v>
      </c>
      <c r="AM712" t="n">
        <v>5</v>
      </c>
      <c r="AN712" t="n">
        <v>2</v>
      </c>
      <c r="AO712" t="n">
        <v>2</v>
      </c>
      <c r="AP712" t="n">
        <v>0</v>
      </c>
      <c r="AQ712" t="n">
        <v>0</v>
      </c>
      <c r="AR712" t="inlineStr">
        <is>
          <t>No</t>
        </is>
      </c>
      <c r="AS712" t="inlineStr">
        <is>
          <t>Yes</t>
        </is>
      </c>
      <c r="AT712">
        <f>HYPERLINK("http://catalog.hathitrust.org/Record/001056349","HathiTrust Record")</f>
        <v/>
      </c>
      <c r="AU712">
        <f>HYPERLINK("https://creighton-primo.hosted.exlibrisgroup.com/primo-explore/search?tab=default_tab&amp;search_scope=EVERYTHING&amp;vid=01CRU&amp;lang=en_US&amp;offset=0&amp;query=any,contains,991004508459702656","Catalog Record")</f>
        <v/>
      </c>
      <c r="AV712">
        <f>HYPERLINK("http://www.worldcat.org/oclc/223468","WorldCat Record")</f>
        <v/>
      </c>
      <c r="AW712" t="inlineStr">
        <is>
          <t>9243639862:spa</t>
        </is>
      </c>
      <c r="AX712" t="inlineStr">
        <is>
          <t>223468</t>
        </is>
      </c>
      <c r="AY712" t="inlineStr">
        <is>
          <t>991004508459702656</t>
        </is>
      </c>
      <c r="AZ712" t="inlineStr">
        <is>
          <t>991004508459702656</t>
        </is>
      </c>
      <c r="BA712" t="inlineStr">
        <is>
          <t>2264045400002656</t>
        </is>
      </c>
      <c r="BB712" t="inlineStr">
        <is>
          <t>BOOK</t>
        </is>
      </c>
      <c r="BE712" t="inlineStr">
        <is>
          <t>32285005029516</t>
        </is>
      </c>
      <c r="BF712" t="inlineStr">
        <is>
          <t>893700333</t>
        </is>
      </c>
    </row>
    <row r="713">
      <c r="A713" t="inlineStr">
        <is>
          <t>No</t>
        </is>
      </c>
      <c r="B713" t="inlineStr">
        <is>
          <t>CURAL</t>
        </is>
      </c>
      <c r="C713" t="inlineStr">
        <is>
          <t>SHELVES</t>
        </is>
      </c>
      <c r="D713" t="inlineStr">
        <is>
          <t>PQ6641.A47 Z563 1971</t>
        </is>
      </c>
      <c r="E713" t="inlineStr">
        <is>
          <t>0                      PQ 6641000A  47                 Z  563         1971</t>
        </is>
      </c>
      <c r="F713" t="inlineStr">
        <is>
          <t>Valle-Inclán : introducciaon a su obra / Manuel Bermejo Marcos.</t>
        </is>
      </c>
      <c r="H713" t="inlineStr">
        <is>
          <t>No</t>
        </is>
      </c>
      <c r="I713" t="inlineStr">
        <is>
          <t>1</t>
        </is>
      </c>
      <c r="J713" t="inlineStr">
        <is>
          <t>No</t>
        </is>
      </c>
      <c r="K713" t="inlineStr">
        <is>
          <t>No</t>
        </is>
      </c>
      <c r="L713" t="inlineStr">
        <is>
          <t>0</t>
        </is>
      </c>
      <c r="M713" t="inlineStr">
        <is>
          <t>Bermejo Marcos, Manuel.</t>
        </is>
      </c>
      <c r="N713" t="inlineStr">
        <is>
          <t>Madrid : Anaya, 1971.</t>
        </is>
      </c>
      <c r="O713" t="inlineStr">
        <is>
          <t>1971</t>
        </is>
      </c>
      <c r="Q713" t="inlineStr">
        <is>
          <t>spa</t>
        </is>
      </c>
      <c r="R713" t="inlineStr">
        <is>
          <t xml:space="preserve">sp </t>
        </is>
      </c>
      <c r="S713" t="inlineStr">
        <is>
          <t>Temas y estudios</t>
        </is>
      </c>
      <c r="T713" t="inlineStr">
        <is>
          <t xml:space="preserve">PQ </t>
        </is>
      </c>
      <c r="U713" t="n">
        <v>1</v>
      </c>
      <c r="V713" t="n">
        <v>1</v>
      </c>
      <c r="W713" t="inlineStr">
        <is>
          <t>2004-08-02</t>
        </is>
      </c>
      <c r="X713" t="inlineStr">
        <is>
          <t>2004-08-02</t>
        </is>
      </c>
      <c r="Y713" t="inlineStr">
        <is>
          <t>2004-08-02</t>
        </is>
      </c>
      <c r="Z713" t="inlineStr">
        <is>
          <t>2004-08-02</t>
        </is>
      </c>
      <c r="AA713" t="n">
        <v>300</v>
      </c>
      <c r="AB713" t="n">
        <v>234</v>
      </c>
      <c r="AC713" t="n">
        <v>236</v>
      </c>
      <c r="AD713" t="n">
        <v>1</v>
      </c>
      <c r="AE713" t="n">
        <v>1</v>
      </c>
      <c r="AF713" t="n">
        <v>8</v>
      </c>
      <c r="AG713" t="n">
        <v>8</v>
      </c>
      <c r="AH713" t="n">
        <v>2</v>
      </c>
      <c r="AI713" t="n">
        <v>2</v>
      </c>
      <c r="AJ713" t="n">
        <v>4</v>
      </c>
      <c r="AK713" t="n">
        <v>4</v>
      </c>
      <c r="AL713" t="n">
        <v>4</v>
      </c>
      <c r="AM713" t="n">
        <v>4</v>
      </c>
      <c r="AN713" t="n">
        <v>0</v>
      </c>
      <c r="AO713" t="n">
        <v>0</v>
      </c>
      <c r="AP713" t="n">
        <v>0</v>
      </c>
      <c r="AQ713" t="n">
        <v>0</v>
      </c>
      <c r="AR713" t="inlineStr">
        <is>
          <t>No</t>
        </is>
      </c>
      <c r="AS713" t="inlineStr">
        <is>
          <t>Yes</t>
        </is>
      </c>
      <c r="AT713">
        <f>HYPERLINK("http://catalog.hathitrust.org/Record/001056358","HathiTrust Record")</f>
        <v/>
      </c>
      <c r="AU713">
        <f>HYPERLINK("https://creighton-primo.hosted.exlibrisgroup.com/primo-explore/search?tab=default_tab&amp;search_scope=EVERYTHING&amp;vid=01CRU&amp;lang=en_US&amp;offset=0&amp;query=any,contains,991004332289702656","Catalog Record")</f>
        <v/>
      </c>
      <c r="AV713">
        <f>HYPERLINK("http://www.worldcat.org/oclc/24830151","WorldCat Record")</f>
        <v/>
      </c>
      <c r="AW713" t="inlineStr">
        <is>
          <t>1561024:spa</t>
        </is>
      </c>
      <c r="AX713" t="inlineStr">
        <is>
          <t>24830151</t>
        </is>
      </c>
      <c r="AY713" t="inlineStr">
        <is>
          <t>991004332289702656</t>
        </is>
      </c>
      <c r="AZ713" t="inlineStr">
        <is>
          <t>991004332289702656</t>
        </is>
      </c>
      <c r="BA713" t="inlineStr">
        <is>
          <t>2254702800002656</t>
        </is>
      </c>
      <c r="BB713" t="inlineStr">
        <is>
          <t>BOOK</t>
        </is>
      </c>
      <c r="BE713" t="inlineStr">
        <is>
          <t>32285004925292</t>
        </is>
      </c>
      <c r="BF713" t="inlineStr">
        <is>
          <t>893618537</t>
        </is>
      </c>
    </row>
    <row r="714">
      <c r="A714" t="inlineStr">
        <is>
          <t>No</t>
        </is>
      </c>
      <c r="B714" t="inlineStr">
        <is>
          <t>CURAL</t>
        </is>
      </c>
      <c r="C714" t="inlineStr">
        <is>
          <t>SHELVES</t>
        </is>
      </c>
      <c r="D714" t="inlineStr">
        <is>
          <t>PQ6641.A47 Z57 1987</t>
        </is>
      </c>
      <c r="E714" t="inlineStr">
        <is>
          <t>0                      PQ 6641000A  47                 Z  57          1987</t>
        </is>
      </c>
      <c r="F714" t="inlineStr">
        <is>
          <t>Visión del esperpento : teoría y práctica en los esperpentos de Valle-Inclán / Rodolfo Cardona y Anthony N. Zahareas.</t>
        </is>
      </c>
      <c r="H714" t="inlineStr">
        <is>
          <t>No</t>
        </is>
      </c>
      <c r="I714" t="inlineStr">
        <is>
          <t>1</t>
        </is>
      </c>
      <c r="J714" t="inlineStr">
        <is>
          <t>No</t>
        </is>
      </c>
      <c r="K714" t="inlineStr">
        <is>
          <t>No</t>
        </is>
      </c>
      <c r="L714" t="inlineStr">
        <is>
          <t>0</t>
        </is>
      </c>
      <c r="M714" t="inlineStr">
        <is>
          <t>Cardona, Rodolfo, 1924-</t>
        </is>
      </c>
      <c r="N714" t="inlineStr">
        <is>
          <t>Madrid : Editorial Castalia, c1987.</t>
        </is>
      </c>
      <c r="O714" t="inlineStr">
        <is>
          <t>1987</t>
        </is>
      </c>
      <c r="P714" t="inlineStr">
        <is>
          <t>2a ed. corr. y aumentada.</t>
        </is>
      </c>
      <c r="Q714" t="inlineStr">
        <is>
          <t>spa</t>
        </is>
      </c>
      <c r="R714" t="inlineStr">
        <is>
          <t xml:space="preserve">sp </t>
        </is>
      </c>
      <c r="S714" t="inlineStr">
        <is>
          <t>Literatura y sociedad ; 29</t>
        </is>
      </c>
      <c r="T714" t="inlineStr">
        <is>
          <t xml:space="preserve">PQ </t>
        </is>
      </c>
      <c r="U714" t="n">
        <v>1</v>
      </c>
      <c r="V714" t="n">
        <v>1</v>
      </c>
      <c r="W714" t="inlineStr">
        <is>
          <t>2005-08-08</t>
        </is>
      </c>
      <c r="X714" t="inlineStr">
        <is>
          <t>2005-08-08</t>
        </is>
      </c>
      <c r="Y714" t="inlineStr">
        <is>
          <t>2005-08-08</t>
        </is>
      </c>
      <c r="Z714" t="inlineStr">
        <is>
          <t>2005-08-08</t>
        </is>
      </c>
      <c r="AA714" t="n">
        <v>29</v>
      </c>
      <c r="AB714" t="n">
        <v>24</v>
      </c>
      <c r="AC714" t="n">
        <v>342</v>
      </c>
      <c r="AD714" t="n">
        <v>2</v>
      </c>
      <c r="AE714" t="n">
        <v>3</v>
      </c>
      <c r="AF714" t="n">
        <v>3</v>
      </c>
      <c r="AG714" t="n">
        <v>18</v>
      </c>
      <c r="AH714" t="n">
        <v>1</v>
      </c>
      <c r="AI714" t="n">
        <v>4</v>
      </c>
      <c r="AJ714" t="n">
        <v>0</v>
      </c>
      <c r="AK714" t="n">
        <v>6</v>
      </c>
      <c r="AL714" t="n">
        <v>2</v>
      </c>
      <c r="AM714" t="n">
        <v>9</v>
      </c>
      <c r="AN714" t="n">
        <v>1</v>
      </c>
      <c r="AO714" t="n">
        <v>2</v>
      </c>
      <c r="AP714" t="n">
        <v>0</v>
      </c>
      <c r="AQ714" t="n">
        <v>1</v>
      </c>
      <c r="AR714" t="inlineStr">
        <is>
          <t>No</t>
        </is>
      </c>
      <c r="AS714" t="inlineStr">
        <is>
          <t>No</t>
        </is>
      </c>
      <c r="AU714">
        <f>HYPERLINK("https://creighton-primo.hosted.exlibrisgroup.com/primo-explore/search?tab=default_tab&amp;search_scope=EVERYTHING&amp;vid=01CRU&amp;lang=en_US&amp;offset=0&amp;query=any,contains,991004345399702656","Catalog Record")</f>
        <v/>
      </c>
      <c r="AV714">
        <f>HYPERLINK("http://www.worldcat.org/oclc/19707996","WorldCat Record")</f>
        <v/>
      </c>
      <c r="AW714" t="inlineStr">
        <is>
          <t>1723209:spa</t>
        </is>
      </c>
      <c r="AX714" t="inlineStr">
        <is>
          <t>19707996</t>
        </is>
      </c>
      <c r="AY714" t="inlineStr">
        <is>
          <t>991004345399702656</t>
        </is>
      </c>
      <c r="AZ714" t="inlineStr">
        <is>
          <t>991004345399702656</t>
        </is>
      </c>
      <c r="BA714" t="inlineStr">
        <is>
          <t>2264526510002656</t>
        </is>
      </c>
      <c r="BB714" t="inlineStr">
        <is>
          <t>BOOK</t>
        </is>
      </c>
      <c r="BD714" t="inlineStr">
        <is>
          <t>9788470393945</t>
        </is>
      </c>
      <c r="BE714" t="inlineStr">
        <is>
          <t>32285005099584</t>
        </is>
      </c>
      <c r="BF714" t="inlineStr">
        <is>
          <t>893436178</t>
        </is>
      </c>
    </row>
    <row r="715">
      <c r="A715" t="inlineStr">
        <is>
          <t>No</t>
        </is>
      </c>
      <c r="B715" t="inlineStr">
        <is>
          <t>CURAL</t>
        </is>
      </c>
      <c r="C715" t="inlineStr">
        <is>
          <t>SHELVES</t>
        </is>
      </c>
      <c r="D715" t="inlineStr">
        <is>
          <t>PQ6641.A47 Z782 1994</t>
        </is>
      </c>
      <c r="E715" t="inlineStr">
        <is>
          <t>0                      PQ 6641000A  47                 Z  782         1994</t>
        </is>
      </c>
      <c r="F715" t="inlineStr">
        <is>
          <t>Ramón María del Valle-Inclán : questions of gender / edited by Carol Maier and Roberta L. Salper.</t>
        </is>
      </c>
      <c r="H715" t="inlineStr">
        <is>
          <t>No</t>
        </is>
      </c>
      <c r="I715" t="inlineStr">
        <is>
          <t>1</t>
        </is>
      </c>
      <c r="J715" t="inlineStr">
        <is>
          <t>No</t>
        </is>
      </c>
      <c r="K715" t="inlineStr">
        <is>
          <t>No</t>
        </is>
      </c>
      <c r="L715" t="inlineStr">
        <is>
          <t>0</t>
        </is>
      </c>
      <c r="N715" t="inlineStr">
        <is>
          <t>Lewisburg [Pa.] : Bucknell University Press ; London : Associated University Presses, c1994.</t>
        </is>
      </c>
      <c r="O715" t="inlineStr">
        <is>
          <t>1994</t>
        </is>
      </c>
      <c r="Q715" t="inlineStr">
        <is>
          <t>eng</t>
        </is>
      </c>
      <c r="R715" t="inlineStr">
        <is>
          <t>pau</t>
        </is>
      </c>
      <c r="T715" t="inlineStr">
        <is>
          <t xml:space="preserve">PQ </t>
        </is>
      </c>
      <c r="U715" t="n">
        <v>0</v>
      </c>
      <c r="V715" t="n">
        <v>0</v>
      </c>
      <c r="W715" t="inlineStr">
        <is>
          <t>2005-09-08</t>
        </is>
      </c>
      <c r="X715" t="inlineStr">
        <is>
          <t>2005-09-08</t>
        </is>
      </c>
      <c r="Y715" t="inlineStr">
        <is>
          <t>1995-11-02</t>
        </is>
      </c>
      <c r="Z715" t="inlineStr">
        <is>
          <t>1995-11-02</t>
        </is>
      </c>
      <c r="AA715" t="n">
        <v>326</v>
      </c>
      <c r="AB715" t="n">
        <v>289</v>
      </c>
      <c r="AC715" t="n">
        <v>297</v>
      </c>
      <c r="AD715" t="n">
        <v>3</v>
      </c>
      <c r="AE715" t="n">
        <v>3</v>
      </c>
      <c r="AF715" t="n">
        <v>19</v>
      </c>
      <c r="AG715" t="n">
        <v>19</v>
      </c>
      <c r="AH715" t="n">
        <v>4</v>
      </c>
      <c r="AI715" t="n">
        <v>4</v>
      </c>
      <c r="AJ715" t="n">
        <v>7</v>
      </c>
      <c r="AK715" t="n">
        <v>7</v>
      </c>
      <c r="AL715" t="n">
        <v>11</v>
      </c>
      <c r="AM715" t="n">
        <v>11</v>
      </c>
      <c r="AN715" t="n">
        <v>2</v>
      </c>
      <c r="AO715" t="n">
        <v>2</v>
      </c>
      <c r="AP715" t="n">
        <v>0</v>
      </c>
      <c r="AQ715" t="n">
        <v>0</v>
      </c>
      <c r="AR715" t="inlineStr">
        <is>
          <t>No</t>
        </is>
      </c>
      <c r="AS715" t="inlineStr">
        <is>
          <t>Yes</t>
        </is>
      </c>
      <c r="AT715">
        <f>HYPERLINK("http://catalog.hathitrust.org/Record/002876713","HathiTrust Record")</f>
        <v/>
      </c>
      <c r="AU715">
        <f>HYPERLINK("https://creighton-primo.hosted.exlibrisgroup.com/primo-explore/search?tab=default_tab&amp;search_scope=EVERYTHING&amp;vid=01CRU&amp;lang=en_US&amp;offset=0&amp;query=any,contains,991002264109702656","Catalog Record")</f>
        <v/>
      </c>
      <c r="AV715">
        <f>HYPERLINK("http://www.worldcat.org/oclc/29359941","WorldCat Record")</f>
        <v/>
      </c>
      <c r="AW715" t="inlineStr">
        <is>
          <t>906247100:eng</t>
        </is>
      </c>
      <c r="AX715" t="inlineStr">
        <is>
          <t>29359941</t>
        </is>
      </c>
      <c r="AY715" t="inlineStr">
        <is>
          <t>991002264109702656</t>
        </is>
      </c>
      <c r="AZ715" t="inlineStr">
        <is>
          <t>991002264109702656</t>
        </is>
      </c>
      <c r="BA715" t="inlineStr">
        <is>
          <t>2266516330002656</t>
        </is>
      </c>
      <c r="BB715" t="inlineStr">
        <is>
          <t>BOOK</t>
        </is>
      </c>
      <c r="BD715" t="inlineStr">
        <is>
          <t>9780838752616</t>
        </is>
      </c>
      <c r="BE715" t="inlineStr">
        <is>
          <t>32285002100385</t>
        </is>
      </c>
      <c r="BF715" t="inlineStr">
        <is>
          <t>893226634</t>
        </is>
      </c>
    </row>
    <row r="716">
      <c r="A716" t="inlineStr">
        <is>
          <t>No</t>
        </is>
      </c>
      <c r="B716" t="inlineStr">
        <is>
          <t>CURAL</t>
        </is>
      </c>
      <c r="C716" t="inlineStr">
        <is>
          <t>SHELVES</t>
        </is>
      </c>
      <c r="D716" t="inlineStr">
        <is>
          <t>PQ6651.A223 L5 1996</t>
        </is>
      </c>
      <c r="E716" t="inlineStr">
        <is>
          <t>0                      PQ 6651000A  223                L  5           1996</t>
        </is>
      </c>
      <c r="F716" t="inlineStr">
        <is>
          <t>Libro de buen folgar / Manolus Abbat, Iulius Agnus Nepote y otros troveros del mester de goliardía ; edición de Julio Borrego Nieto, Manuel María Pérez López.</t>
        </is>
      </c>
      <c r="H716" t="inlineStr">
        <is>
          <t>No</t>
        </is>
      </c>
      <c r="I716" t="inlineStr">
        <is>
          <t>1</t>
        </is>
      </c>
      <c r="J716" t="inlineStr">
        <is>
          <t>No</t>
        </is>
      </c>
      <c r="K716" t="inlineStr">
        <is>
          <t>No</t>
        </is>
      </c>
      <c r="L716" t="inlineStr">
        <is>
          <t>0</t>
        </is>
      </c>
      <c r="M716" t="inlineStr">
        <is>
          <t>Abbat, Manolus.</t>
        </is>
      </c>
      <c r="N716" t="inlineStr">
        <is>
          <t>Salamanca, España : Ediciones Universidad de Salamanca, 1996.</t>
        </is>
      </c>
      <c r="O716" t="inlineStr">
        <is>
          <t>1996</t>
        </is>
      </c>
      <c r="P716" t="inlineStr">
        <is>
          <t>1. ed.</t>
        </is>
      </c>
      <c r="Q716" t="inlineStr">
        <is>
          <t>spa</t>
        </is>
      </c>
      <c r="R716" t="inlineStr">
        <is>
          <t xml:space="preserve">sp </t>
        </is>
      </c>
      <c r="S716" t="inlineStr">
        <is>
          <t>Moria ; 1</t>
        </is>
      </c>
      <c r="T716" t="inlineStr">
        <is>
          <t xml:space="preserve">PQ </t>
        </is>
      </c>
      <c r="U716" t="n">
        <v>1</v>
      </c>
      <c r="V716" t="n">
        <v>1</v>
      </c>
      <c r="W716" t="inlineStr">
        <is>
          <t>2005-03-22</t>
        </is>
      </c>
      <c r="X716" t="inlineStr">
        <is>
          <t>2005-03-22</t>
        </is>
      </c>
      <c r="Y716" t="inlineStr">
        <is>
          <t>2005-03-22</t>
        </is>
      </c>
      <c r="Z716" t="inlineStr">
        <is>
          <t>2005-03-22</t>
        </is>
      </c>
      <c r="AA716" t="n">
        <v>30</v>
      </c>
      <c r="AB716" t="n">
        <v>20</v>
      </c>
      <c r="AC716" t="n">
        <v>22</v>
      </c>
      <c r="AD716" t="n">
        <v>1</v>
      </c>
      <c r="AE716" t="n">
        <v>1</v>
      </c>
      <c r="AF716" t="n">
        <v>0</v>
      </c>
      <c r="AG716" t="n">
        <v>0</v>
      </c>
      <c r="AH716" t="n">
        <v>0</v>
      </c>
      <c r="AI716" t="n">
        <v>0</v>
      </c>
      <c r="AJ716" t="n">
        <v>0</v>
      </c>
      <c r="AK716" t="n">
        <v>0</v>
      </c>
      <c r="AL716" t="n">
        <v>0</v>
      </c>
      <c r="AM716" t="n">
        <v>0</v>
      </c>
      <c r="AN716" t="n">
        <v>0</v>
      </c>
      <c r="AO716" t="n">
        <v>0</v>
      </c>
      <c r="AP716" t="n">
        <v>0</v>
      </c>
      <c r="AQ716" t="n">
        <v>0</v>
      </c>
      <c r="AR716" t="inlineStr">
        <is>
          <t>No</t>
        </is>
      </c>
      <c r="AS716" t="inlineStr">
        <is>
          <t>No</t>
        </is>
      </c>
      <c r="AU716">
        <f>HYPERLINK("https://creighton-primo.hosted.exlibrisgroup.com/primo-explore/search?tab=default_tab&amp;search_scope=EVERYTHING&amp;vid=01CRU&amp;lang=en_US&amp;offset=0&amp;query=any,contains,991004508069702656","Catalog Record")</f>
        <v/>
      </c>
      <c r="AV716">
        <f>HYPERLINK("http://www.worldcat.org/oclc/38504120","WorldCat Record")</f>
        <v/>
      </c>
      <c r="AW716" t="inlineStr">
        <is>
          <t>479242702:spa</t>
        </is>
      </c>
      <c r="AX716" t="inlineStr">
        <is>
          <t>38504120</t>
        </is>
      </c>
      <c r="AY716" t="inlineStr">
        <is>
          <t>991004508069702656</t>
        </is>
      </c>
      <c r="AZ716" t="inlineStr">
        <is>
          <t>991004508069702656</t>
        </is>
      </c>
      <c r="BA716" t="inlineStr">
        <is>
          <t>2266794060002656</t>
        </is>
      </c>
      <c r="BB716" t="inlineStr">
        <is>
          <t>BOOK</t>
        </is>
      </c>
      <c r="BD716" t="inlineStr">
        <is>
          <t>9788474819793</t>
        </is>
      </c>
      <c r="BE716" t="inlineStr">
        <is>
          <t>32285005029664</t>
        </is>
      </c>
      <c r="BF716" t="inlineStr">
        <is>
          <t>893599916</t>
        </is>
      </c>
    </row>
    <row r="717">
      <c r="A717" t="inlineStr">
        <is>
          <t>No</t>
        </is>
      </c>
      <c r="B717" t="inlineStr">
        <is>
          <t>CURAL</t>
        </is>
      </c>
      <c r="C717" t="inlineStr">
        <is>
          <t>SHELVES</t>
        </is>
      </c>
      <c r="D717" t="inlineStr">
        <is>
          <t>PQ6652.A787 A83 1999</t>
        </is>
      </c>
      <c r="E717" t="inlineStr">
        <is>
          <t>0                      PQ 6652000A  787                A  83          1999</t>
        </is>
      </c>
      <c r="F717" t="inlineStr">
        <is>
          <t>Amanecer con hormigas en la boca / Miguel Barroso.</t>
        </is>
      </c>
      <c r="H717" t="inlineStr">
        <is>
          <t>No</t>
        </is>
      </c>
      <c r="I717" t="inlineStr">
        <is>
          <t>1</t>
        </is>
      </c>
      <c r="J717" t="inlineStr">
        <is>
          <t>No</t>
        </is>
      </c>
      <c r="K717" t="inlineStr">
        <is>
          <t>No</t>
        </is>
      </c>
      <c r="L717" t="inlineStr">
        <is>
          <t>0</t>
        </is>
      </c>
      <c r="M717" t="inlineStr">
        <is>
          <t>Barroso, Miguel A.</t>
        </is>
      </c>
      <c r="N717" t="inlineStr">
        <is>
          <t>Madrid : Editorial Debate, 1999.</t>
        </is>
      </c>
      <c r="O717" t="inlineStr">
        <is>
          <t>1999</t>
        </is>
      </c>
      <c r="P717" t="inlineStr">
        <is>
          <t>1. ed.</t>
        </is>
      </c>
      <c r="Q717" t="inlineStr">
        <is>
          <t>spa</t>
        </is>
      </c>
      <c r="R717" t="inlineStr">
        <is>
          <t xml:space="preserve">sp </t>
        </is>
      </c>
      <c r="S717" t="inlineStr">
        <is>
          <t>Literatura</t>
        </is>
      </c>
      <c r="T717" t="inlineStr">
        <is>
          <t xml:space="preserve">PQ </t>
        </is>
      </c>
      <c r="U717" t="n">
        <v>1</v>
      </c>
      <c r="V717" t="n">
        <v>1</v>
      </c>
      <c r="W717" t="inlineStr">
        <is>
          <t>2000-11-09</t>
        </is>
      </c>
      <c r="X717" t="inlineStr">
        <is>
          <t>2000-11-09</t>
        </is>
      </c>
      <c r="Y717" t="inlineStr">
        <is>
          <t>2000-11-09</t>
        </is>
      </c>
      <c r="Z717" t="inlineStr">
        <is>
          <t>2000-11-09</t>
        </is>
      </c>
      <c r="AA717" t="n">
        <v>72</v>
      </c>
      <c r="AB717" t="n">
        <v>56</v>
      </c>
      <c r="AC717" t="n">
        <v>63</v>
      </c>
      <c r="AD717" t="n">
        <v>1</v>
      </c>
      <c r="AE717" t="n">
        <v>1</v>
      </c>
      <c r="AF717" t="n">
        <v>1</v>
      </c>
      <c r="AG717" t="n">
        <v>1</v>
      </c>
      <c r="AH717" t="n">
        <v>0</v>
      </c>
      <c r="AI717" t="n">
        <v>0</v>
      </c>
      <c r="AJ717" t="n">
        <v>1</v>
      </c>
      <c r="AK717" t="n">
        <v>1</v>
      </c>
      <c r="AL717" t="n">
        <v>1</v>
      </c>
      <c r="AM717" t="n">
        <v>1</v>
      </c>
      <c r="AN717" t="n">
        <v>0</v>
      </c>
      <c r="AO717" t="n">
        <v>0</v>
      </c>
      <c r="AP717" t="n">
        <v>0</v>
      </c>
      <c r="AQ717" t="n">
        <v>0</v>
      </c>
      <c r="AR717" t="inlineStr">
        <is>
          <t>No</t>
        </is>
      </c>
      <c r="AS717" t="inlineStr">
        <is>
          <t>Yes</t>
        </is>
      </c>
      <c r="AT717">
        <f>HYPERLINK("http://catalog.hathitrust.org/Record/007576870","HathiTrust Record")</f>
        <v/>
      </c>
      <c r="AU717">
        <f>HYPERLINK("https://creighton-primo.hosted.exlibrisgroup.com/primo-explore/search?tab=default_tab&amp;search_scope=EVERYTHING&amp;vid=01CRU&amp;lang=en_US&amp;offset=0&amp;query=any,contains,991003340419702656","Catalog Record")</f>
        <v/>
      </c>
      <c r="AV717">
        <f>HYPERLINK("http://www.worldcat.org/oclc/41403031","WorldCat Record")</f>
        <v/>
      </c>
      <c r="AW717" t="inlineStr">
        <is>
          <t>418123:spa</t>
        </is>
      </c>
      <c r="AX717" t="inlineStr">
        <is>
          <t>41403031</t>
        </is>
      </c>
      <c r="AY717" t="inlineStr">
        <is>
          <t>991003340419702656</t>
        </is>
      </c>
      <c r="AZ717" t="inlineStr">
        <is>
          <t>991003340419702656</t>
        </is>
      </c>
      <c r="BA717" t="inlineStr">
        <is>
          <t>2270435540002656</t>
        </is>
      </c>
      <c r="BB717" t="inlineStr">
        <is>
          <t>BOOK</t>
        </is>
      </c>
      <c r="BD717" t="inlineStr">
        <is>
          <t>9788483061664</t>
        </is>
      </c>
      <c r="BE717" t="inlineStr">
        <is>
          <t>32285004265129</t>
        </is>
      </c>
      <c r="BF717" t="inlineStr">
        <is>
          <t>893410197</t>
        </is>
      </c>
    </row>
    <row r="718">
      <c r="A718" t="inlineStr">
        <is>
          <t>No</t>
        </is>
      </c>
      <c r="B718" t="inlineStr">
        <is>
          <t>CURAL</t>
        </is>
      </c>
      <c r="C718" t="inlineStr">
        <is>
          <t>SHELVES</t>
        </is>
      </c>
      <c r="D718" t="inlineStr">
        <is>
          <t>PQ6652.A82 C6 1979</t>
        </is>
      </c>
      <c r="E718" t="inlineStr">
        <is>
          <t>0                      PQ 6652000A  82                 C  6           1979</t>
        </is>
      </c>
      <c r="F718" t="inlineStr">
        <is>
          <t>Constitución sobre la tierra / Claudio Bastida.</t>
        </is>
      </c>
      <c r="H718" t="inlineStr">
        <is>
          <t>No</t>
        </is>
      </c>
      <c r="I718" t="inlineStr">
        <is>
          <t>1</t>
        </is>
      </c>
      <c r="J718" t="inlineStr">
        <is>
          <t>No</t>
        </is>
      </c>
      <c r="K718" t="inlineStr">
        <is>
          <t>No</t>
        </is>
      </c>
      <c r="L718" t="inlineStr">
        <is>
          <t>0</t>
        </is>
      </c>
      <c r="M718" t="inlineStr">
        <is>
          <t>Bastida, Claudio, 1934-</t>
        </is>
      </c>
      <c r="N718" t="inlineStr">
        <is>
          <t>Madrid : Heliodoro, [1979]</t>
        </is>
      </c>
      <c r="O718" t="inlineStr">
        <is>
          <t>1979</t>
        </is>
      </c>
      <c r="Q718" t="inlineStr">
        <is>
          <t>spa</t>
        </is>
      </c>
      <c r="R718" t="inlineStr">
        <is>
          <t xml:space="preserve">sp </t>
        </is>
      </c>
      <c r="T718" t="inlineStr">
        <is>
          <t xml:space="preserve">PQ </t>
        </is>
      </c>
      <c r="U718" t="n">
        <v>1</v>
      </c>
      <c r="V718" t="n">
        <v>1</v>
      </c>
      <c r="W718" t="inlineStr">
        <is>
          <t>2002-08-27</t>
        </is>
      </c>
      <c r="X718" t="inlineStr">
        <is>
          <t>2002-08-27</t>
        </is>
      </c>
      <c r="Y718" t="inlineStr">
        <is>
          <t>2002-08-27</t>
        </is>
      </c>
      <c r="Z718" t="inlineStr">
        <is>
          <t>2002-08-27</t>
        </is>
      </c>
      <c r="AA718" t="n">
        <v>11</v>
      </c>
      <c r="AB718" t="n">
        <v>8</v>
      </c>
      <c r="AC718" t="n">
        <v>9</v>
      </c>
      <c r="AD718" t="n">
        <v>1</v>
      </c>
      <c r="AE718" t="n">
        <v>1</v>
      </c>
      <c r="AF718" t="n">
        <v>0</v>
      </c>
      <c r="AG718" t="n">
        <v>0</v>
      </c>
      <c r="AH718" t="n">
        <v>0</v>
      </c>
      <c r="AI718" t="n">
        <v>0</v>
      </c>
      <c r="AJ718" t="n">
        <v>0</v>
      </c>
      <c r="AK718" t="n">
        <v>0</v>
      </c>
      <c r="AL718" t="n">
        <v>0</v>
      </c>
      <c r="AM718" t="n">
        <v>0</v>
      </c>
      <c r="AN718" t="n">
        <v>0</v>
      </c>
      <c r="AO718" t="n">
        <v>0</v>
      </c>
      <c r="AP718" t="n">
        <v>0</v>
      </c>
      <c r="AQ718" t="n">
        <v>0</v>
      </c>
      <c r="AR718" t="inlineStr">
        <is>
          <t>No</t>
        </is>
      </c>
      <c r="AS718" t="inlineStr">
        <is>
          <t>Yes</t>
        </is>
      </c>
      <c r="AT718">
        <f>HYPERLINK("http://catalog.hathitrust.org/Record/101887997","HathiTrust Record")</f>
        <v/>
      </c>
      <c r="AU718">
        <f>HYPERLINK("https://creighton-primo.hosted.exlibrisgroup.com/primo-explore/search?tab=default_tab&amp;search_scope=EVERYTHING&amp;vid=01CRU&amp;lang=en_US&amp;offset=0&amp;query=any,contains,991003870199702656","Catalog Record")</f>
        <v/>
      </c>
      <c r="AV718">
        <f>HYPERLINK("http://www.worldcat.org/oclc/8548624","WorldCat Record")</f>
        <v/>
      </c>
      <c r="AW718" t="inlineStr">
        <is>
          <t>42948891:spa</t>
        </is>
      </c>
      <c r="AX718" t="inlineStr">
        <is>
          <t>8548624</t>
        </is>
      </c>
      <c r="AY718" t="inlineStr">
        <is>
          <t>991003870199702656</t>
        </is>
      </c>
      <c r="AZ718" t="inlineStr">
        <is>
          <t>991003870199702656</t>
        </is>
      </c>
      <c r="BA718" t="inlineStr">
        <is>
          <t>2272651550002656</t>
        </is>
      </c>
      <c r="BB718" t="inlineStr">
        <is>
          <t>BOOK</t>
        </is>
      </c>
      <c r="BD718" t="inlineStr">
        <is>
          <t>9788485381067</t>
        </is>
      </c>
      <c r="BE718" t="inlineStr">
        <is>
          <t>32285004644927</t>
        </is>
      </c>
      <c r="BF718" t="inlineStr">
        <is>
          <t>893617885</t>
        </is>
      </c>
    </row>
    <row r="719">
      <c r="A719" t="inlineStr">
        <is>
          <t>No</t>
        </is>
      </c>
      <c r="B719" t="inlineStr">
        <is>
          <t>CURAL</t>
        </is>
      </c>
      <c r="C719" t="inlineStr">
        <is>
          <t>SHELVES</t>
        </is>
      </c>
      <c r="D719" t="inlineStr">
        <is>
          <t>PQ6652.O56 S46 1985</t>
        </is>
      </c>
      <c r="E719" t="inlineStr">
        <is>
          <t>0                      PQ 6652000O  56                 S  46          1985</t>
        </is>
      </c>
      <c r="F719" t="inlineStr">
        <is>
          <t>Sensaciones / Gregorio Bonmatí.</t>
        </is>
      </c>
      <c r="H719" t="inlineStr">
        <is>
          <t>No</t>
        </is>
      </c>
      <c r="I719" t="inlineStr">
        <is>
          <t>1</t>
        </is>
      </c>
      <c r="J719" t="inlineStr">
        <is>
          <t>No</t>
        </is>
      </c>
      <c r="K719" t="inlineStr">
        <is>
          <t>No</t>
        </is>
      </c>
      <c r="L719" t="inlineStr">
        <is>
          <t>0</t>
        </is>
      </c>
      <c r="M719" t="inlineStr">
        <is>
          <t>Bonmatí, Gregorio, 1943-</t>
        </is>
      </c>
      <c r="N719" t="inlineStr">
        <is>
          <t>[Venezuela] : Con Textos, [1985]</t>
        </is>
      </c>
      <c r="O719" t="inlineStr">
        <is>
          <t>1985</t>
        </is>
      </c>
      <c r="Q719" t="inlineStr">
        <is>
          <t>spa</t>
        </is>
      </c>
      <c r="R719" t="inlineStr">
        <is>
          <t xml:space="preserve">ve </t>
        </is>
      </c>
      <c r="S719" t="inlineStr">
        <is>
          <t>Colección Plural de poesía ; no. 4</t>
        </is>
      </c>
      <c r="T719" t="inlineStr">
        <is>
          <t xml:space="preserve">PQ </t>
        </is>
      </c>
      <c r="U719" t="n">
        <v>1</v>
      </c>
      <c r="V719" t="n">
        <v>1</v>
      </c>
      <c r="W719" t="inlineStr">
        <is>
          <t>2002-06-10</t>
        </is>
      </c>
      <c r="X719" t="inlineStr">
        <is>
          <t>2002-06-10</t>
        </is>
      </c>
      <c r="Y719" t="inlineStr">
        <is>
          <t>2002-06-10</t>
        </is>
      </c>
      <c r="Z719" t="inlineStr">
        <is>
          <t>2002-06-10</t>
        </is>
      </c>
      <c r="AA719" t="n">
        <v>3</v>
      </c>
      <c r="AB719" t="n">
        <v>2</v>
      </c>
      <c r="AC719" t="n">
        <v>17</v>
      </c>
      <c r="AD719" t="n">
        <v>1</v>
      </c>
      <c r="AE719" t="n">
        <v>1</v>
      </c>
      <c r="AF719" t="n">
        <v>0</v>
      </c>
      <c r="AG719" t="n">
        <v>0</v>
      </c>
      <c r="AH719" t="n">
        <v>0</v>
      </c>
      <c r="AI719" t="n">
        <v>0</v>
      </c>
      <c r="AJ719" t="n">
        <v>0</v>
      </c>
      <c r="AK719" t="n">
        <v>0</v>
      </c>
      <c r="AL719" t="n">
        <v>0</v>
      </c>
      <c r="AM719" t="n">
        <v>0</v>
      </c>
      <c r="AN719" t="n">
        <v>0</v>
      </c>
      <c r="AO719" t="n">
        <v>0</v>
      </c>
      <c r="AP719" t="n">
        <v>0</v>
      </c>
      <c r="AQ719" t="n">
        <v>0</v>
      </c>
      <c r="AR719" t="inlineStr">
        <is>
          <t>No</t>
        </is>
      </c>
      <c r="AS719" t="inlineStr">
        <is>
          <t>No</t>
        </is>
      </c>
      <c r="AU719">
        <f>HYPERLINK("https://creighton-primo.hosted.exlibrisgroup.com/primo-explore/search?tab=default_tab&amp;search_scope=EVERYTHING&amp;vid=01CRU&amp;lang=en_US&amp;offset=0&amp;query=any,contains,991003816949702656","Catalog Record")</f>
        <v/>
      </c>
      <c r="AV719">
        <f>HYPERLINK("http://www.worldcat.org/oclc/30994842","WorldCat Record")</f>
        <v/>
      </c>
      <c r="AW719" t="inlineStr">
        <is>
          <t>33445590:spa</t>
        </is>
      </c>
      <c r="AX719" t="inlineStr">
        <is>
          <t>30994842</t>
        </is>
      </c>
      <c r="AY719" t="inlineStr">
        <is>
          <t>991003816949702656</t>
        </is>
      </c>
      <c r="AZ719" t="inlineStr">
        <is>
          <t>991003816949702656</t>
        </is>
      </c>
      <c r="BA719" t="inlineStr">
        <is>
          <t>2258919260002656</t>
        </is>
      </c>
      <c r="BB719" t="inlineStr">
        <is>
          <t>BOOK</t>
        </is>
      </c>
      <c r="BD719" t="inlineStr">
        <is>
          <t>9789806014046</t>
        </is>
      </c>
      <c r="BE719" t="inlineStr">
        <is>
          <t>32285004461157</t>
        </is>
      </c>
      <c r="BF719" t="inlineStr">
        <is>
          <t>893794087</t>
        </is>
      </c>
    </row>
    <row r="720">
      <c r="A720" t="inlineStr">
        <is>
          <t>No</t>
        </is>
      </c>
      <c r="B720" t="inlineStr">
        <is>
          <t>CURAL</t>
        </is>
      </c>
      <c r="C720" t="inlineStr">
        <is>
          <t>SHELVES</t>
        </is>
      </c>
      <c r="D720" t="inlineStr">
        <is>
          <t>PQ6655.T84 B43 2001</t>
        </is>
      </c>
      <c r="E720" t="inlineStr">
        <is>
          <t>0                      PQ 6655000T  84                 B  43          2001</t>
        </is>
      </c>
      <c r="F720" t="inlineStr">
        <is>
          <t>Beatriz y los cuerpos celestes : una novela rosa / Lucía Etxebarría.</t>
        </is>
      </c>
      <c r="H720" t="inlineStr">
        <is>
          <t>No</t>
        </is>
      </c>
      <c r="I720" t="inlineStr">
        <is>
          <t>1</t>
        </is>
      </c>
      <c r="J720" t="inlineStr">
        <is>
          <t>No</t>
        </is>
      </c>
      <c r="K720" t="inlineStr">
        <is>
          <t>No</t>
        </is>
      </c>
      <c r="L720" t="inlineStr">
        <is>
          <t>0</t>
        </is>
      </c>
      <c r="M720" t="inlineStr">
        <is>
          <t>Etxebarría, Lucía, 1966-</t>
        </is>
      </c>
      <c r="N720" t="inlineStr">
        <is>
          <t>Barcelona : Ediciones Destino, 2001.</t>
        </is>
      </c>
      <c r="O720" t="inlineStr">
        <is>
          <t>2001</t>
        </is>
      </c>
      <c r="P720" t="inlineStr">
        <is>
          <t>2a ed.</t>
        </is>
      </c>
      <c r="Q720" t="inlineStr">
        <is>
          <t>spa</t>
        </is>
      </c>
      <c r="R720" t="inlineStr">
        <is>
          <t xml:space="preserve">sp </t>
        </is>
      </c>
      <c r="S720" t="inlineStr">
        <is>
          <t>Booket ; 2004</t>
        </is>
      </c>
      <c r="T720" t="inlineStr">
        <is>
          <t xml:space="preserve">PQ </t>
        </is>
      </c>
      <c r="U720" t="n">
        <v>1</v>
      </c>
      <c r="V720" t="n">
        <v>1</v>
      </c>
      <c r="W720" t="inlineStr">
        <is>
          <t>2002-05-08</t>
        </is>
      </c>
      <c r="X720" t="inlineStr">
        <is>
          <t>2002-05-08</t>
        </is>
      </c>
      <c r="Y720" t="inlineStr">
        <is>
          <t>2002-04-30</t>
        </is>
      </c>
      <c r="Z720" t="inlineStr">
        <is>
          <t>2002-04-30</t>
        </is>
      </c>
      <c r="AA720" t="n">
        <v>37</v>
      </c>
      <c r="AB720" t="n">
        <v>22</v>
      </c>
      <c r="AC720" t="n">
        <v>204</v>
      </c>
      <c r="AD720" t="n">
        <v>1</v>
      </c>
      <c r="AE720" t="n">
        <v>2</v>
      </c>
      <c r="AF720" t="n">
        <v>1</v>
      </c>
      <c r="AG720" t="n">
        <v>8</v>
      </c>
      <c r="AH720" t="n">
        <v>1</v>
      </c>
      <c r="AI720" t="n">
        <v>3</v>
      </c>
      <c r="AJ720" t="n">
        <v>0</v>
      </c>
      <c r="AK720" t="n">
        <v>4</v>
      </c>
      <c r="AL720" t="n">
        <v>0</v>
      </c>
      <c r="AM720" t="n">
        <v>2</v>
      </c>
      <c r="AN720" t="n">
        <v>0</v>
      </c>
      <c r="AO720" t="n">
        <v>1</v>
      </c>
      <c r="AP720" t="n">
        <v>0</v>
      </c>
      <c r="AQ720" t="n">
        <v>0</v>
      </c>
      <c r="AR720" t="inlineStr">
        <is>
          <t>No</t>
        </is>
      </c>
      <c r="AS720" t="inlineStr">
        <is>
          <t>No</t>
        </is>
      </c>
      <c r="AU720">
        <f>HYPERLINK("https://creighton-primo.hosted.exlibrisgroup.com/primo-explore/search?tab=default_tab&amp;search_scope=EVERYTHING&amp;vid=01CRU&amp;lang=en_US&amp;offset=0&amp;query=any,contains,991003772319702656","Catalog Record")</f>
        <v/>
      </c>
      <c r="AV720">
        <f>HYPERLINK("http://www.worldcat.org/oclc/48647064","WorldCat Record")</f>
        <v/>
      </c>
      <c r="AW720" t="inlineStr">
        <is>
          <t>3955982736:spa</t>
        </is>
      </c>
      <c r="AX720" t="inlineStr">
        <is>
          <t>48647064</t>
        </is>
      </c>
      <c r="AY720" t="inlineStr">
        <is>
          <t>991003772319702656</t>
        </is>
      </c>
      <c r="AZ720" t="inlineStr">
        <is>
          <t>991003772319702656</t>
        </is>
      </c>
      <c r="BA720" t="inlineStr">
        <is>
          <t>2255418000002656</t>
        </is>
      </c>
      <c r="BB720" t="inlineStr">
        <is>
          <t>BOOK</t>
        </is>
      </c>
      <c r="BD720" t="inlineStr">
        <is>
          <t>9788423333172</t>
        </is>
      </c>
      <c r="BE720" t="inlineStr">
        <is>
          <t>32285004484779</t>
        </is>
      </c>
      <c r="BF720" t="inlineStr">
        <is>
          <t>893429197</t>
        </is>
      </c>
    </row>
    <row r="721">
      <c r="A721" t="inlineStr">
        <is>
          <t>No</t>
        </is>
      </c>
      <c r="B721" t="inlineStr">
        <is>
          <t>CURAL</t>
        </is>
      </c>
      <c r="C721" t="inlineStr">
        <is>
          <t>SHELVES</t>
        </is>
      </c>
      <c r="D721" t="inlineStr">
        <is>
          <t>PQ6656.E72138 H4713 2004</t>
        </is>
      </c>
      <c r="E721" t="inlineStr">
        <is>
          <t>0                      PQ 6656000E  72138              H  4713        2004</t>
        </is>
      </c>
      <c r="F721" t="inlineStr">
        <is>
          <t>Blood sisters = Hermanas de sangre / Cristina Fernández Cubas ; translated from the Spanish by Karen Denise Dinicola.</t>
        </is>
      </c>
      <c r="H721" t="inlineStr">
        <is>
          <t>No</t>
        </is>
      </c>
      <c r="I721" t="inlineStr">
        <is>
          <t>1</t>
        </is>
      </c>
      <c r="J721" t="inlineStr">
        <is>
          <t>No</t>
        </is>
      </c>
      <c r="K721" t="inlineStr">
        <is>
          <t>No</t>
        </is>
      </c>
      <c r="L721" t="inlineStr">
        <is>
          <t>0</t>
        </is>
      </c>
      <c r="M721" t="inlineStr">
        <is>
          <t>Fernández Cubas, Cristina, 1945-</t>
        </is>
      </c>
      <c r="N721" t="inlineStr">
        <is>
          <t>New Brunswick, N.J. : Estreno Plays, c2004.</t>
        </is>
      </c>
      <c r="O721" t="inlineStr">
        <is>
          <t>2004</t>
        </is>
      </c>
      <c r="Q721" t="inlineStr">
        <is>
          <t>eng</t>
        </is>
      </c>
      <c r="R721" t="inlineStr">
        <is>
          <t>nju</t>
        </is>
      </c>
      <c r="S721" t="inlineStr">
        <is>
          <t>Estreno Collection of contemporary Spanish plays ; 26</t>
        </is>
      </c>
      <c r="T721" t="inlineStr">
        <is>
          <t xml:space="preserve">PQ </t>
        </is>
      </c>
      <c r="U721" t="n">
        <v>1</v>
      </c>
      <c r="V721" t="n">
        <v>1</v>
      </c>
      <c r="W721" t="inlineStr">
        <is>
          <t>2005-03-14</t>
        </is>
      </c>
      <c r="X721" t="inlineStr">
        <is>
          <t>2005-03-14</t>
        </is>
      </c>
      <c r="Y721" t="inlineStr">
        <is>
          <t>2005-03-14</t>
        </is>
      </c>
      <c r="Z721" t="inlineStr">
        <is>
          <t>2005-03-14</t>
        </is>
      </c>
      <c r="AA721" t="n">
        <v>198</v>
      </c>
      <c r="AB721" t="n">
        <v>179</v>
      </c>
      <c r="AC721" t="n">
        <v>180</v>
      </c>
      <c r="AD721" t="n">
        <v>2</v>
      </c>
      <c r="AE721" t="n">
        <v>2</v>
      </c>
      <c r="AF721" t="n">
        <v>15</v>
      </c>
      <c r="AG721" t="n">
        <v>15</v>
      </c>
      <c r="AH721" t="n">
        <v>5</v>
      </c>
      <c r="AI721" t="n">
        <v>5</v>
      </c>
      <c r="AJ721" t="n">
        <v>4</v>
      </c>
      <c r="AK721" t="n">
        <v>4</v>
      </c>
      <c r="AL721" t="n">
        <v>10</v>
      </c>
      <c r="AM721" t="n">
        <v>10</v>
      </c>
      <c r="AN721" t="n">
        <v>1</v>
      </c>
      <c r="AO721" t="n">
        <v>1</v>
      </c>
      <c r="AP721" t="n">
        <v>0</v>
      </c>
      <c r="AQ721" t="n">
        <v>0</v>
      </c>
      <c r="AR721" t="inlineStr">
        <is>
          <t>No</t>
        </is>
      </c>
      <c r="AS721" t="inlineStr">
        <is>
          <t>Yes</t>
        </is>
      </c>
      <c r="AT721">
        <f>HYPERLINK("http://catalog.hathitrust.org/Record/004982549","HathiTrust Record")</f>
        <v/>
      </c>
      <c r="AU721">
        <f>HYPERLINK("https://creighton-primo.hosted.exlibrisgroup.com/primo-explore/search?tab=default_tab&amp;search_scope=EVERYTHING&amp;vid=01CRU&amp;lang=en_US&amp;offset=0&amp;query=any,contains,991004497409702656","Catalog Record")</f>
        <v/>
      </c>
      <c r="AV721">
        <f>HYPERLINK("http://www.worldcat.org/oclc/56687379","WorldCat Record")</f>
        <v/>
      </c>
      <c r="AW721" t="inlineStr">
        <is>
          <t>821295:eng</t>
        </is>
      </c>
      <c r="AX721" t="inlineStr">
        <is>
          <t>56687379</t>
        </is>
      </c>
      <c r="AY721" t="inlineStr">
        <is>
          <t>991004497409702656</t>
        </is>
      </c>
      <c r="AZ721" t="inlineStr">
        <is>
          <t>991004497409702656</t>
        </is>
      </c>
      <c r="BA721" t="inlineStr">
        <is>
          <t>2269994350002656</t>
        </is>
      </c>
      <c r="BB721" t="inlineStr">
        <is>
          <t>BOOK</t>
        </is>
      </c>
      <c r="BD721" t="inlineStr">
        <is>
          <t>9781888463187</t>
        </is>
      </c>
      <c r="BE721" t="inlineStr">
        <is>
          <t>32285005040679</t>
        </is>
      </c>
      <c r="BF721" t="inlineStr">
        <is>
          <t>893901292</t>
        </is>
      </c>
    </row>
    <row r="722">
      <c r="A722" t="inlineStr">
        <is>
          <t>No</t>
        </is>
      </c>
      <c r="B722" t="inlineStr">
        <is>
          <t>CURAL</t>
        </is>
      </c>
      <c r="C722" t="inlineStr">
        <is>
          <t>SHELVES</t>
        </is>
      </c>
      <c r="D722" t="inlineStr">
        <is>
          <t>PQ6657.O9 A8432 2000</t>
        </is>
      </c>
      <c r="E722" t="inlineStr">
        <is>
          <t>0                      PQ 6657000O  9                  A  8432        2000</t>
        </is>
      </c>
      <c r="F722" t="inlineStr">
        <is>
          <t>Approximations to Luis Goytisolo's Antagonía / Pamela J. DeWeese.</t>
        </is>
      </c>
      <c r="H722" t="inlineStr">
        <is>
          <t>No</t>
        </is>
      </c>
      <c r="I722" t="inlineStr">
        <is>
          <t>1</t>
        </is>
      </c>
      <c r="J722" t="inlineStr">
        <is>
          <t>No</t>
        </is>
      </c>
      <c r="K722" t="inlineStr">
        <is>
          <t>No</t>
        </is>
      </c>
      <c r="L722" t="inlineStr">
        <is>
          <t>0</t>
        </is>
      </c>
      <c r="M722" t="inlineStr">
        <is>
          <t>DeWeese, Pamela J., 1951-</t>
        </is>
      </c>
      <c r="N722" t="inlineStr">
        <is>
          <t>New York : P. Lang, c2000.</t>
        </is>
      </c>
      <c r="O722" t="inlineStr">
        <is>
          <t>2000</t>
        </is>
      </c>
      <c r="Q722" t="inlineStr">
        <is>
          <t>eng</t>
        </is>
      </c>
      <c r="R722" t="inlineStr">
        <is>
          <t>nyu</t>
        </is>
      </c>
      <c r="S722" t="inlineStr">
        <is>
          <t>Wor(l)ds of change, 1072-334x ; vol. 50</t>
        </is>
      </c>
      <c r="T722" t="inlineStr">
        <is>
          <t xml:space="preserve">PQ </t>
        </is>
      </c>
      <c r="U722" t="n">
        <v>1</v>
      </c>
      <c r="V722" t="n">
        <v>1</v>
      </c>
      <c r="W722" t="inlineStr">
        <is>
          <t>2001-03-13</t>
        </is>
      </c>
      <c r="X722" t="inlineStr">
        <is>
          <t>2001-03-13</t>
        </is>
      </c>
      <c r="Y722" t="inlineStr">
        <is>
          <t>2001-03-13</t>
        </is>
      </c>
      <c r="Z722" t="inlineStr">
        <is>
          <t>2001-03-13</t>
        </is>
      </c>
      <c r="AA722" t="n">
        <v>121</v>
      </c>
      <c r="AB722" t="n">
        <v>94</v>
      </c>
      <c r="AC722" t="n">
        <v>96</v>
      </c>
      <c r="AD722" t="n">
        <v>2</v>
      </c>
      <c r="AE722" t="n">
        <v>2</v>
      </c>
      <c r="AF722" t="n">
        <v>8</v>
      </c>
      <c r="AG722" t="n">
        <v>8</v>
      </c>
      <c r="AH722" t="n">
        <v>1</v>
      </c>
      <c r="AI722" t="n">
        <v>1</v>
      </c>
      <c r="AJ722" t="n">
        <v>4</v>
      </c>
      <c r="AK722" t="n">
        <v>4</v>
      </c>
      <c r="AL722" t="n">
        <v>5</v>
      </c>
      <c r="AM722" t="n">
        <v>5</v>
      </c>
      <c r="AN722" t="n">
        <v>1</v>
      </c>
      <c r="AO722" t="n">
        <v>1</v>
      </c>
      <c r="AP722" t="n">
        <v>0</v>
      </c>
      <c r="AQ722" t="n">
        <v>0</v>
      </c>
      <c r="AR722" t="inlineStr">
        <is>
          <t>No</t>
        </is>
      </c>
      <c r="AS722" t="inlineStr">
        <is>
          <t>Yes</t>
        </is>
      </c>
      <c r="AT722">
        <f>HYPERLINK("http://catalog.hathitrust.org/Record/004144924","HathiTrust Record")</f>
        <v/>
      </c>
      <c r="AU722">
        <f>HYPERLINK("https://creighton-primo.hosted.exlibrisgroup.com/primo-explore/search?tab=default_tab&amp;search_scope=EVERYTHING&amp;vid=01CRU&amp;lang=en_US&amp;offset=0&amp;query=any,contains,991003479019702656","Catalog Record")</f>
        <v/>
      </c>
      <c r="AV722">
        <f>HYPERLINK("http://www.worldcat.org/oclc/43859515","WorldCat Record")</f>
        <v/>
      </c>
      <c r="AW722" t="inlineStr">
        <is>
          <t>33091291:eng</t>
        </is>
      </c>
      <c r="AX722" t="inlineStr">
        <is>
          <t>43859515</t>
        </is>
      </c>
      <c r="AY722" t="inlineStr">
        <is>
          <t>991003479019702656</t>
        </is>
      </c>
      <c r="AZ722" t="inlineStr">
        <is>
          <t>991003479019702656</t>
        </is>
      </c>
      <c r="BA722" t="inlineStr">
        <is>
          <t>2268015750002656</t>
        </is>
      </c>
      <c r="BB722" t="inlineStr">
        <is>
          <t>BOOK</t>
        </is>
      </c>
      <c r="BD722" t="inlineStr">
        <is>
          <t>9780820450278</t>
        </is>
      </c>
      <c r="BE722" t="inlineStr">
        <is>
          <t>32285004299987</t>
        </is>
      </c>
      <c r="BF722" t="inlineStr">
        <is>
          <t>893705256</t>
        </is>
      </c>
    </row>
    <row r="723">
      <c r="A723" t="inlineStr">
        <is>
          <t>No</t>
        </is>
      </c>
      <c r="B723" t="inlineStr">
        <is>
          <t>CURAL</t>
        </is>
      </c>
      <c r="C723" t="inlineStr">
        <is>
          <t>SHELVES</t>
        </is>
      </c>
      <c r="D723" t="inlineStr">
        <is>
          <t>PQ6658.E693 G6 1989</t>
        </is>
      </c>
      <c r="E723" t="inlineStr">
        <is>
          <t>0                      PQ 6658000E  693                G  6           1989</t>
        </is>
      </c>
      <c r="F723" t="inlineStr">
        <is>
          <t>Golgothá / Ramón Hernández.</t>
        </is>
      </c>
      <c r="H723" t="inlineStr">
        <is>
          <t>No</t>
        </is>
      </c>
      <c r="I723" t="inlineStr">
        <is>
          <t>1</t>
        </is>
      </c>
      <c r="J723" t="inlineStr">
        <is>
          <t>No</t>
        </is>
      </c>
      <c r="K723" t="inlineStr">
        <is>
          <t>No</t>
        </is>
      </c>
      <c r="L723" t="inlineStr">
        <is>
          <t>0</t>
        </is>
      </c>
      <c r="M723" t="inlineStr">
        <is>
          <t>Hernández, Ramón, 1935-</t>
        </is>
      </c>
      <c r="N723" t="inlineStr">
        <is>
          <t>Barcelona : Seix Barral, c1989, 1988.</t>
        </is>
      </c>
      <c r="O723" t="inlineStr">
        <is>
          <t>1989</t>
        </is>
      </c>
      <c r="P723" t="inlineStr">
        <is>
          <t>1a ed.</t>
        </is>
      </c>
      <c r="Q723" t="inlineStr">
        <is>
          <t>spa</t>
        </is>
      </c>
      <c r="R723" t="inlineStr">
        <is>
          <t xml:space="preserve">sp </t>
        </is>
      </c>
      <c r="S723" t="inlineStr">
        <is>
          <t>Biblioteca breve</t>
        </is>
      </c>
      <c r="T723" t="inlineStr">
        <is>
          <t xml:space="preserve">PQ </t>
        </is>
      </c>
      <c r="U723" t="n">
        <v>1</v>
      </c>
      <c r="V723" t="n">
        <v>1</v>
      </c>
      <c r="W723" t="inlineStr">
        <is>
          <t>1992-04-20</t>
        </is>
      </c>
      <c r="X723" t="inlineStr">
        <is>
          <t>1992-04-20</t>
        </is>
      </c>
      <c r="Y723" t="inlineStr">
        <is>
          <t>1991-07-19</t>
        </is>
      </c>
      <c r="Z723" t="inlineStr">
        <is>
          <t>1991-07-19</t>
        </is>
      </c>
      <c r="AA723" t="n">
        <v>69</v>
      </c>
      <c r="AB723" t="n">
        <v>50</v>
      </c>
      <c r="AC723" t="n">
        <v>52</v>
      </c>
      <c r="AD723" t="n">
        <v>1</v>
      </c>
      <c r="AE723" t="n">
        <v>1</v>
      </c>
      <c r="AF723" t="n">
        <v>0</v>
      </c>
      <c r="AG723" t="n">
        <v>0</v>
      </c>
      <c r="AH723" t="n">
        <v>0</v>
      </c>
      <c r="AI723" t="n">
        <v>0</v>
      </c>
      <c r="AJ723" t="n">
        <v>0</v>
      </c>
      <c r="AK723" t="n">
        <v>0</v>
      </c>
      <c r="AL723" t="n">
        <v>0</v>
      </c>
      <c r="AM723" t="n">
        <v>0</v>
      </c>
      <c r="AN723" t="n">
        <v>0</v>
      </c>
      <c r="AO723" t="n">
        <v>0</v>
      </c>
      <c r="AP723" t="n">
        <v>0</v>
      </c>
      <c r="AQ723" t="n">
        <v>0</v>
      </c>
      <c r="AR723" t="inlineStr">
        <is>
          <t>No</t>
        </is>
      </c>
      <c r="AS723" t="inlineStr">
        <is>
          <t>Yes</t>
        </is>
      </c>
      <c r="AT723">
        <f>HYPERLINK("http://catalog.hathitrust.org/Record/001292084","HathiTrust Record")</f>
        <v/>
      </c>
      <c r="AU723">
        <f>HYPERLINK("https://creighton-primo.hosted.exlibrisgroup.com/primo-explore/search?tab=default_tab&amp;search_scope=EVERYTHING&amp;vid=01CRU&amp;lang=en_US&amp;offset=0&amp;query=any,contains,991001492139702656","Catalog Record")</f>
        <v/>
      </c>
      <c r="AV723">
        <f>HYPERLINK("http://www.worldcat.org/oclc/19729450","WorldCat Record")</f>
        <v/>
      </c>
      <c r="AW723" t="inlineStr">
        <is>
          <t>21599964:spa</t>
        </is>
      </c>
      <c r="AX723" t="inlineStr">
        <is>
          <t>19729450</t>
        </is>
      </c>
      <c r="AY723" t="inlineStr">
        <is>
          <t>991001492139702656</t>
        </is>
      </c>
      <c r="AZ723" t="inlineStr">
        <is>
          <t>991001492139702656</t>
        </is>
      </c>
      <c r="BA723" t="inlineStr">
        <is>
          <t>2264249380002656</t>
        </is>
      </c>
      <c r="BB723" t="inlineStr">
        <is>
          <t>BOOK</t>
        </is>
      </c>
      <c r="BD723" t="inlineStr">
        <is>
          <t>9788432205996</t>
        </is>
      </c>
      <c r="BE723" t="inlineStr">
        <is>
          <t>32285000677848</t>
        </is>
      </c>
      <c r="BF723" t="inlineStr">
        <is>
          <t>893696786</t>
        </is>
      </c>
    </row>
    <row r="724">
      <c r="A724" t="inlineStr">
        <is>
          <t>No</t>
        </is>
      </c>
      <c r="B724" t="inlineStr">
        <is>
          <t>CURAL</t>
        </is>
      </c>
      <c r="C724" t="inlineStr">
        <is>
          <t>SHELVES</t>
        </is>
      </c>
      <c r="D724" t="inlineStr">
        <is>
          <t>PQ6658.E76 P54 2000</t>
        </is>
      </c>
      <c r="E724" t="inlineStr">
        <is>
          <t>0                      PQ 6658000E  76                 P  54          2000</t>
        </is>
      </c>
      <c r="F724" t="inlineStr">
        <is>
          <t>Piedra de sacrificio / Ángela Hernández Núñez.</t>
        </is>
      </c>
      <c r="H724" t="inlineStr">
        <is>
          <t>No</t>
        </is>
      </c>
      <c r="I724" t="inlineStr">
        <is>
          <t>1</t>
        </is>
      </c>
      <c r="J724" t="inlineStr">
        <is>
          <t>No</t>
        </is>
      </c>
      <c r="K724" t="inlineStr">
        <is>
          <t>No</t>
        </is>
      </c>
      <c r="L724" t="inlineStr">
        <is>
          <t>0</t>
        </is>
      </c>
      <c r="M724" t="inlineStr">
        <is>
          <t>Hernández, Angela.</t>
        </is>
      </c>
      <c r="N724" t="inlineStr">
        <is>
          <t>Santo Domingo, República Dominicana : Editorial Alas : Editora Búho 2000.</t>
        </is>
      </c>
      <c r="O724" t="inlineStr">
        <is>
          <t>2000</t>
        </is>
      </c>
      <c r="P724" t="inlineStr">
        <is>
          <t>1. ed.</t>
        </is>
      </c>
      <c r="Q724" t="inlineStr">
        <is>
          <t>spa</t>
        </is>
      </c>
      <c r="R724" t="inlineStr">
        <is>
          <t xml:space="preserve">dr </t>
        </is>
      </c>
      <c r="T724" t="inlineStr">
        <is>
          <t xml:space="preserve">PQ </t>
        </is>
      </c>
      <c r="U724" t="n">
        <v>3</v>
      </c>
      <c r="V724" t="n">
        <v>3</v>
      </c>
      <c r="W724" t="inlineStr">
        <is>
          <t>2003-04-01</t>
        </is>
      </c>
      <c r="X724" t="inlineStr">
        <is>
          <t>2003-04-01</t>
        </is>
      </c>
      <c r="Y724" t="inlineStr">
        <is>
          <t>2001-06-13</t>
        </is>
      </c>
      <c r="Z724" t="inlineStr">
        <is>
          <t>2001-06-13</t>
        </is>
      </c>
      <c r="AA724" t="n">
        <v>23</v>
      </c>
      <c r="AB724" t="n">
        <v>22</v>
      </c>
      <c r="AC724" t="n">
        <v>24</v>
      </c>
      <c r="AD724" t="n">
        <v>2</v>
      </c>
      <c r="AE724" t="n">
        <v>2</v>
      </c>
      <c r="AF724" t="n">
        <v>2</v>
      </c>
      <c r="AG724" t="n">
        <v>2</v>
      </c>
      <c r="AH724" t="n">
        <v>0</v>
      </c>
      <c r="AI724" t="n">
        <v>0</v>
      </c>
      <c r="AJ724" t="n">
        <v>1</v>
      </c>
      <c r="AK724" t="n">
        <v>1</v>
      </c>
      <c r="AL724" t="n">
        <v>0</v>
      </c>
      <c r="AM724" t="n">
        <v>0</v>
      </c>
      <c r="AN724" t="n">
        <v>1</v>
      </c>
      <c r="AO724" t="n">
        <v>1</v>
      </c>
      <c r="AP724" t="n">
        <v>0</v>
      </c>
      <c r="AQ724" t="n">
        <v>0</v>
      </c>
      <c r="AR724" t="inlineStr">
        <is>
          <t>No</t>
        </is>
      </c>
      <c r="AS724" t="inlineStr">
        <is>
          <t>Yes</t>
        </is>
      </c>
      <c r="AT724">
        <f>HYPERLINK("http://catalog.hathitrust.org/Record/008371348","HathiTrust Record")</f>
        <v/>
      </c>
      <c r="AU724">
        <f>HYPERLINK("https://creighton-primo.hosted.exlibrisgroup.com/primo-explore/search?tab=default_tab&amp;search_scope=EVERYTHING&amp;vid=01CRU&amp;lang=en_US&amp;offset=0&amp;query=any,contains,991003546369702656","Catalog Record")</f>
        <v/>
      </c>
      <c r="AV724">
        <f>HYPERLINK("http://www.worldcat.org/oclc/45408616","WorldCat Record")</f>
        <v/>
      </c>
      <c r="AW724" t="inlineStr">
        <is>
          <t>34588221:spa</t>
        </is>
      </c>
      <c r="AX724" t="inlineStr">
        <is>
          <t>45408616</t>
        </is>
      </c>
      <c r="AY724" t="inlineStr">
        <is>
          <t>991003546369702656</t>
        </is>
      </c>
      <c r="AZ724" t="inlineStr">
        <is>
          <t>991003546369702656</t>
        </is>
      </c>
      <c r="BA724" t="inlineStr">
        <is>
          <t>2262901010002656</t>
        </is>
      </c>
      <c r="BB724" t="inlineStr">
        <is>
          <t>BOOK</t>
        </is>
      </c>
      <c r="BD724" t="inlineStr">
        <is>
          <t>9789768175236</t>
        </is>
      </c>
      <c r="BE724" t="inlineStr">
        <is>
          <t>32285004327200</t>
        </is>
      </c>
      <c r="BF724" t="inlineStr">
        <is>
          <t>893262796</t>
        </is>
      </c>
    </row>
    <row r="725">
      <c r="A725" t="inlineStr">
        <is>
          <t>No</t>
        </is>
      </c>
      <c r="B725" t="inlineStr">
        <is>
          <t>CURAL</t>
        </is>
      </c>
      <c r="C725" t="inlineStr">
        <is>
          <t>SHELVES</t>
        </is>
      </c>
      <c r="D725" t="inlineStr">
        <is>
          <t>PQ6663.A7218 T6313 2000</t>
        </is>
      </c>
      <c r="E725" t="inlineStr">
        <is>
          <t>0                      PQ 6663000A  7218               T  6313        2000</t>
        </is>
      </c>
      <c r="F725" t="inlineStr">
        <is>
          <t>All souls / Javier Marías ; translated by Margaret Jull Costa.</t>
        </is>
      </c>
      <c r="H725" t="inlineStr">
        <is>
          <t>No</t>
        </is>
      </c>
      <c r="I725" t="inlineStr">
        <is>
          <t>1</t>
        </is>
      </c>
      <c r="J725" t="inlineStr">
        <is>
          <t>No</t>
        </is>
      </c>
      <c r="K725" t="inlineStr">
        <is>
          <t>No</t>
        </is>
      </c>
      <c r="L725" t="inlineStr">
        <is>
          <t>0</t>
        </is>
      </c>
      <c r="M725" t="inlineStr">
        <is>
          <t>Marías, Javier.</t>
        </is>
      </c>
      <c r="N725" t="inlineStr">
        <is>
          <t>New York : New Directions, 2000.</t>
        </is>
      </c>
      <c r="O725" t="inlineStr">
        <is>
          <t>2000</t>
        </is>
      </c>
      <c r="Q725" t="inlineStr">
        <is>
          <t>eng</t>
        </is>
      </c>
      <c r="R725" t="inlineStr">
        <is>
          <t>nyu</t>
        </is>
      </c>
      <c r="S725" t="inlineStr">
        <is>
          <t>New Directions classics</t>
        </is>
      </c>
      <c r="T725" t="inlineStr">
        <is>
          <t xml:space="preserve">PQ </t>
        </is>
      </c>
      <c r="U725" t="n">
        <v>1</v>
      </c>
      <c r="V725" t="n">
        <v>1</v>
      </c>
      <c r="W725" t="inlineStr">
        <is>
          <t>2001-07-10</t>
        </is>
      </c>
      <c r="X725" t="inlineStr">
        <is>
          <t>2001-07-10</t>
        </is>
      </c>
      <c r="Y725" t="inlineStr">
        <is>
          <t>2001-07-09</t>
        </is>
      </c>
      <c r="Z725" t="inlineStr">
        <is>
          <t>2001-07-09</t>
        </is>
      </c>
      <c r="AA725" t="n">
        <v>139</v>
      </c>
      <c r="AB725" t="n">
        <v>131</v>
      </c>
      <c r="AC725" t="n">
        <v>369</v>
      </c>
      <c r="AD725" t="n">
        <v>1</v>
      </c>
      <c r="AE725" t="n">
        <v>2</v>
      </c>
      <c r="AF725" t="n">
        <v>9</v>
      </c>
      <c r="AG725" t="n">
        <v>11</v>
      </c>
      <c r="AH725" t="n">
        <v>5</v>
      </c>
      <c r="AI725" t="n">
        <v>5</v>
      </c>
      <c r="AJ725" t="n">
        <v>3</v>
      </c>
      <c r="AK725" t="n">
        <v>4</v>
      </c>
      <c r="AL725" t="n">
        <v>4</v>
      </c>
      <c r="AM725" t="n">
        <v>5</v>
      </c>
      <c r="AN725" t="n">
        <v>0</v>
      </c>
      <c r="AO725" t="n">
        <v>1</v>
      </c>
      <c r="AP725" t="n">
        <v>0</v>
      </c>
      <c r="AQ725" t="n">
        <v>0</v>
      </c>
      <c r="AR725" t="inlineStr">
        <is>
          <t>No</t>
        </is>
      </c>
      <c r="AS725" t="inlineStr">
        <is>
          <t>No</t>
        </is>
      </c>
      <c r="AU725">
        <f>HYPERLINK("https://creighton-primo.hosted.exlibrisgroup.com/primo-explore/search?tab=default_tab&amp;search_scope=EVERYTHING&amp;vid=01CRU&amp;lang=en_US&amp;offset=0&amp;query=any,contains,991003540759702656","Catalog Record")</f>
        <v/>
      </c>
      <c r="AV725">
        <f>HYPERLINK("http://www.worldcat.org/oclc/44461893","WorldCat Record")</f>
        <v/>
      </c>
      <c r="AW725" t="inlineStr">
        <is>
          <t>7704538:eng</t>
        </is>
      </c>
      <c r="AX725" t="inlineStr">
        <is>
          <t>44461893</t>
        </is>
      </c>
      <c r="AY725" t="inlineStr">
        <is>
          <t>991003540759702656</t>
        </is>
      </c>
      <c r="AZ725" t="inlineStr">
        <is>
          <t>991003540759702656</t>
        </is>
      </c>
      <c r="BA725" t="inlineStr">
        <is>
          <t>2267868230002656</t>
        </is>
      </c>
      <c r="BB725" t="inlineStr">
        <is>
          <t>BOOK</t>
        </is>
      </c>
      <c r="BD725" t="inlineStr">
        <is>
          <t>9780811214537</t>
        </is>
      </c>
      <c r="BE725" t="inlineStr">
        <is>
          <t>32285004330469</t>
        </is>
      </c>
      <c r="BF725" t="inlineStr">
        <is>
          <t>893868530</t>
        </is>
      </c>
    </row>
    <row r="726">
      <c r="A726" t="inlineStr">
        <is>
          <t>No</t>
        </is>
      </c>
      <c r="B726" t="inlineStr">
        <is>
          <t>CURAL</t>
        </is>
      </c>
      <c r="C726" t="inlineStr">
        <is>
          <t>SHELVES</t>
        </is>
      </c>
      <c r="D726" t="inlineStr">
        <is>
          <t>PQ6663.A7487 Z73 2000</t>
        </is>
      </c>
      <c r="E726" t="inlineStr">
        <is>
          <t>0                      PQ 6663000A  7487               Z  73          2000</t>
        </is>
      </c>
      <c r="F726" t="inlineStr">
        <is>
          <t>Manuel Martínez Mediero : deslindes de un teatro de urgencia social / John P. Gabriele.</t>
        </is>
      </c>
      <c r="H726" t="inlineStr">
        <is>
          <t>No</t>
        </is>
      </c>
      <c r="I726" t="inlineStr">
        <is>
          <t>1</t>
        </is>
      </c>
      <c r="J726" t="inlineStr">
        <is>
          <t>No</t>
        </is>
      </c>
      <c r="K726" t="inlineStr">
        <is>
          <t>No</t>
        </is>
      </c>
      <c r="L726" t="inlineStr">
        <is>
          <t>0</t>
        </is>
      </c>
      <c r="M726" t="inlineStr">
        <is>
          <t>Gabriele, John P.</t>
        </is>
      </c>
      <c r="N726" t="inlineStr">
        <is>
          <t>Madrid : Editorial Fundamentos, 2000.</t>
        </is>
      </c>
      <c r="O726" t="inlineStr">
        <is>
          <t>2000</t>
        </is>
      </c>
      <c r="P726" t="inlineStr">
        <is>
          <t>Primera ed.</t>
        </is>
      </c>
      <c r="Q726" t="inlineStr">
        <is>
          <t>spa</t>
        </is>
      </c>
      <c r="R726" t="inlineStr">
        <is>
          <t xml:space="preserve">sp </t>
        </is>
      </c>
      <c r="S726" t="inlineStr">
        <is>
          <t>Espiral Hispano Americana ; 44</t>
        </is>
      </c>
      <c r="T726" t="inlineStr">
        <is>
          <t xml:space="preserve">PQ </t>
        </is>
      </c>
      <c r="U726" t="n">
        <v>1</v>
      </c>
      <c r="V726" t="n">
        <v>1</v>
      </c>
      <c r="W726" t="inlineStr">
        <is>
          <t>2002-01-30</t>
        </is>
      </c>
      <c r="X726" t="inlineStr">
        <is>
          <t>2002-01-30</t>
        </is>
      </c>
      <c r="Y726" t="inlineStr">
        <is>
          <t>2002-01-30</t>
        </is>
      </c>
      <c r="Z726" t="inlineStr">
        <is>
          <t>2002-01-30</t>
        </is>
      </c>
      <c r="AA726" t="n">
        <v>24</v>
      </c>
      <c r="AB726" t="n">
        <v>14</v>
      </c>
      <c r="AC726" t="n">
        <v>16</v>
      </c>
      <c r="AD726" t="n">
        <v>1</v>
      </c>
      <c r="AE726" t="n">
        <v>1</v>
      </c>
      <c r="AF726" t="n">
        <v>0</v>
      </c>
      <c r="AG726" t="n">
        <v>0</v>
      </c>
      <c r="AH726" t="n">
        <v>0</v>
      </c>
      <c r="AI726" t="n">
        <v>0</v>
      </c>
      <c r="AJ726" t="n">
        <v>0</v>
      </c>
      <c r="AK726" t="n">
        <v>0</v>
      </c>
      <c r="AL726" t="n">
        <v>0</v>
      </c>
      <c r="AM726" t="n">
        <v>0</v>
      </c>
      <c r="AN726" t="n">
        <v>0</v>
      </c>
      <c r="AO726" t="n">
        <v>0</v>
      </c>
      <c r="AP726" t="n">
        <v>0</v>
      </c>
      <c r="AQ726" t="n">
        <v>0</v>
      </c>
      <c r="AR726" t="inlineStr">
        <is>
          <t>No</t>
        </is>
      </c>
      <c r="AS726" t="inlineStr">
        <is>
          <t>Yes</t>
        </is>
      </c>
      <c r="AT726">
        <f>HYPERLINK("http://catalog.hathitrust.org/Record/004216310","HathiTrust Record")</f>
        <v/>
      </c>
      <c r="AU726">
        <f>HYPERLINK("https://creighton-primo.hosted.exlibrisgroup.com/primo-explore/search?tab=default_tab&amp;search_scope=EVERYTHING&amp;vid=01CRU&amp;lang=en_US&amp;offset=0&amp;query=any,contains,991003720579702656","Catalog Record")</f>
        <v/>
      </c>
      <c r="AV726">
        <f>HYPERLINK("http://www.worldcat.org/oclc/60704967","WorldCat Record")</f>
        <v/>
      </c>
      <c r="AW726" t="inlineStr">
        <is>
          <t>475961292:spa</t>
        </is>
      </c>
      <c r="AX726" t="inlineStr">
        <is>
          <t>60704967</t>
        </is>
      </c>
      <c r="AY726" t="inlineStr">
        <is>
          <t>991003720579702656</t>
        </is>
      </c>
      <c r="AZ726" t="inlineStr">
        <is>
          <t>991003720579702656</t>
        </is>
      </c>
      <c r="BA726" t="inlineStr">
        <is>
          <t>2272142480002656</t>
        </is>
      </c>
      <c r="BB726" t="inlineStr">
        <is>
          <t>BOOK</t>
        </is>
      </c>
      <c r="BD726" t="inlineStr">
        <is>
          <t>9788424508746</t>
        </is>
      </c>
      <c r="BE726" t="inlineStr">
        <is>
          <t>32285004451430</t>
        </is>
      </c>
      <c r="BF726" t="inlineStr">
        <is>
          <t>893441630</t>
        </is>
      </c>
    </row>
    <row r="727">
      <c r="A727" t="inlineStr">
        <is>
          <t>No</t>
        </is>
      </c>
      <c r="B727" t="inlineStr">
        <is>
          <t>CURAL</t>
        </is>
      </c>
      <c r="C727" t="inlineStr">
        <is>
          <t>SHELVES</t>
        </is>
      </c>
      <c r="D727" t="inlineStr">
        <is>
          <t>PQ6663.A75185 S3 1972</t>
        </is>
      </c>
      <c r="E727" t="inlineStr">
        <is>
          <t>0                      PQ 6663000A  75185              S  3           1972</t>
        </is>
      </c>
      <c r="F727" t="inlineStr">
        <is>
          <t>El santuario inmortal / Augusto Martinez Torres.</t>
        </is>
      </c>
      <c r="H727" t="inlineStr">
        <is>
          <t>No</t>
        </is>
      </c>
      <c r="I727" t="inlineStr">
        <is>
          <t>1</t>
        </is>
      </c>
      <c r="J727" t="inlineStr">
        <is>
          <t>No</t>
        </is>
      </c>
      <c r="K727" t="inlineStr">
        <is>
          <t>No</t>
        </is>
      </c>
      <c r="L727" t="inlineStr">
        <is>
          <t>0</t>
        </is>
      </c>
      <c r="M727" t="inlineStr">
        <is>
          <t>Torres, Augusto M.</t>
        </is>
      </c>
      <c r="N727" t="inlineStr">
        <is>
          <t>Barcelona : Seix Barral, 1972.</t>
        </is>
      </c>
      <c r="O727" t="inlineStr">
        <is>
          <t>1972</t>
        </is>
      </c>
      <c r="P727" t="inlineStr">
        <is>
          <t>1. ed.</t>
        </is>
      </c>
      <c r="Q727" t="inlineStr">
        <is>
          <t>spa</t>
        </is>
      </c>
      <c r="R727" t="inlineStr">
        <is>
          <t xml:space="preserve">sp </t>
        </is>
      </c>
      <c r="S727" t="inlineStr">
        <is>
          <t>Nueva narrativa hispánica</t>
        </is>
      </c>
      <c r="T727" t="inlineStr">
        <is>
          <t xml:space="preserve">PQ </t>
        </is>
      </c>
      <c r="U727" t="n">
        <v>1</v>
      </c>
      <c r="V727" t="n">
        <v>1</v>
      </c>
      <c r="W727" t="inlineStr">
        <is>
          <t>2005-03-23</t>
        </is>
      </c>
      <c r="X727" t="inlineStr">
        <is>
          <t>2005-03-23</t>
        </is>
      </c>
      <c r="Y727" t="inlineStr">
        <is>
          <t>2005-03-23</t>
        </is>
      </c>
      <c r="Z727" t="inlineStr">
        <is>
          <t>2005-03-23</t>
        </is>
      </c>
      <c r="AA727" t="n">
        <v>62</v>
      </c>
      <c r="AB727" t="n">
        <v>45</v>
      </c>
      <c r="AC727" t="n">
        <v>48</v>
      </c>
      <c r="AD727" t="n">
        <v>1</v>
      </c>
      <c r="AE727" t="n">
        <v>1</v>
      </c>
      <c r="AF727" t="n">
        <v>0</v>
      </c>
      <c r="AG727" t="n">
        <v>0</v>
      </c>
      <c r="AH727" t="n">
        <v>0</v>
      </c>
      <c r="AI727" t="n">
        <v>0</v>
      </c>
      <c r="AJ727" t="n">
        <v>0</v>
      </c>
      <c r="AK727" t="n">
        <v>0</v>
      </c>
      <c r="AL727" t="n">
        <v>0</v>
      </c>
      <c r="AM727" t="n">
        <v>0</v>
      </c>
      <c r="AN727" t="n">
        <v>0</v>
      </c>
      <c r="AO727" t="n">
        <v>0</v>
      </c>
      <c r="AP727" t="n">
        <v>0</v>
      </c>
      <c r="AQ727" t="n">
        <v>0</v>
      </c>
      <c r="AR727" t="inlineStr">
        <is>
          <t>No</t>
        </is>
      </c>
      <c r="AS727" t="inlineStr">
        <is>
          <t>Yes</t>
        </is>
      </c>
      <c r="AT727">
        <f>HYPERLINK("http://catalog.hathitrust.org/Record/008371513","HathiTrust Record")</f>
        <v/>
      </c>
      <c r="AU727">
        <f>HYPERLINK("https://creighton-primo.hosted.exlibrisgroup.com/primo-explore/search?tab=default_tab&amp;search_scope=EVERYTHING&amp;vid=01CRU&amp;lang=en_US&amp;offset=0&amp;query=any,contains,991004509789702656","Catalog Record")</f>
        <v/>
      </c>
      <c r="AV727">
        <f>HYPERLINK("http://www.worldcat.org/oclc/563349","WorldCat Record")</f>
        <v/>
      </c>
      <c r="AW727" t="inlineStr">
        <is>
          <t>350655370:spa</t>
        </is>
      </c>
      <c r="AX727" t="inlineStr">
        <is>
          <t>563349</t>
        </is>
      </c>
      <c r="AY727" t="inlineStr">
        <is>
          <t>991004509789702656</t>
        </is>
      </c>
      <c r="AZ727" t="inlineStr">
        <is>
          <t>991004509789702656</t>
        </is>
      </c>
      <c r="BA727" t="inlineStr">
        <is>
          <t>2255731650002656</t>
        </is>
      </c>
      <c r="BB727" t="inlineStr">
        <is>
          <t>BOOK</t>
        </is>
      </c>
      <c r="BE727" t="inlineStr">
        <is>
          <t>32285005044531</t>
        </is>
      </c>
      <c r="BF727" t="inlineStr">
        <is>
          <t>893430151</t>
        </is>
      </c>
    </row>
    <row r="728">
      <c r="A728" t="inlineStr">
        <is>
          <t>No</t>
        </is>
      </c>
      <c r="B728" t="inlineStr">
        <is>
          <t>CURAL</t>
        </is>
      </c>
      <c r="C728" t="inlineStr">
        <is>
          <t>SHELVES</t>
        </is>
      </c>
      <c r="D728" t="inlineStr">
        <is>
          <t>PQ6663.E54 C5 1986</t>
        </is>
      </c>
      <c r="E728" t="inlineStr">
        <is>
          <t>0                      PQ 6663000E  54                 C  5           1986</t>
        </is>
      </c>
      <c r="F728" t="inlineStr">
        <is>
          <t>La ciudad de los prodigios / Eduardo Mendoza.</t>
        </is>
      </c>
      <c r="H728" t="inlineStr">
        <is>
          <t>No</t>
        </is>
      </c>
      <c r="I728" t="inlineStr">
        <is>
          <t>1</t>
        </is>
      </c>
      <c r="J728" t="inlineStr">
        <is>
          <t>No</t>
        </is>
      </c>
      <c r="K728" t="inlineStr">
        <is>
          <t>No</t>
        </is>
      </c>
      <c r="L728" t="inlineStr">
        <is>
          <t>0</t>
        </is>
      </c>
      <c r="M728" t="inlineStr">
        <is>
          <t>Mendoza, Eduardo, 1943-</t>
        </is>
      </c>
      <c r="N728" t="inlineStr">
        <is>
          <t>Barcelona : Seix Barral, c1986, 1989 printing.</t>
        </is>
      </c>
      <c r="O728" t="inlineStr">
        <is>
          <t>1986</t>
        </is>
      </c>
      <c r="Q728" t="inlineStr">
        <is>
          <t>spa</t>
        </is>
      </c>
      <c r="R728" t="inlineStr">
        <is>
          <t xml:space="preserve">sp </t>
        </is>
      </c>
      <c r="S728" t="inlineStr">
        <is>
          <t>Biblioteca breve</t>
        </is>
      </c>
      <c r="T728" t="inlineStr">
        <is>
          <t xml:space="preserve">PQ </t>
        </is>
      </c>
      <c r="U728" t="n">
        <v>2</v>
      </c>
      <c r="V728" t="n">
        <v>2</v>
      </c>
      <c r="W728" t="inlineStr">
        <is>
          <t>1995-10-02</t>
        </is>
      </c>
      <c r="X728" t="inlineStr">
        <is>
          <t>1995-10-02</t>
        </is>
      </c>
      <c r="Y728" t="inlineStr">
        <is>
          <t>1990-05-23</t>
        </is>
      </c>
      <c r="Z728" t="inlineStr">
        <is>
          <t>1990-05-23</t>
        </is>
      </c>
      <c r="AA728" t="n">
        <v>169</v>
      </c>
      <c r="AB728" t="n">
        <v>128</v>
      </c>
      <c r="AC728" t="n">
        <v>284</v>
      </c>
      <c r="AD728" t="n">
        <v>2</v>
      </c>
      <c r="AE728" t="n">
        <v>2</v>
      </c>
      <c r="AF728" t="n">
        <v>3</v>
      </c>
      <c r="AG728" t="n">
        <v>14</v>
      </c>
      <c r="AH728" t="n">
        <v>1</v>
      </c>
      <c r="AI728" t="n">
        <v>6</v>
      </c>
      <c r="AJ728" t="n">
        <v>1</v>
      </c>
      <c r="AK728" t="n">
        <v>5</v>
      </c>
      <c r="AL728" t="n">
        <v>1</v>
      </c>
      <c r="AM728" t="n">
        <v>7</v>
      </c>
      <c r="AN728" t="n">
        <v>1</v>
      </c>
      <c r="AO728" t="n">
        <v>1</v>
      </c>
      <c r="AP728" t="n">
        <v>0</v>
      </c>
      <c r="AQ728" t="n">
        <v>0</v>
      </c>
      <c r="AR728" t="inlineStr">
        <is>
          <t>No</t>
        </is>
      </c>
      <c r="AS728" t="inlineStr">
        <is>
          <t>Yes</t>
        </is>
      </c>
      <c r="AT728">
        <f>HYPERLINK("http://catalog.hathitrust.org/Record/001301933","HathiTrust Record")</f>
        <v/>
      </c>
      <c r="AU728">
        <f>HYPERLINK("https://creighton-primo.hosted.exlibrisgroup.com/primo-explore/search?tab=default_tab&amp;search_scope=EVERYTHING&amp;vid=01CRU&amp;lang=en_US&amp;offset=0&amp;query=any,contains,991000895829702656","Catalog Record")</f>
        <v/>
      </c>
      <c r="AV728">
        <f>HYPERLINK("http://www.worldcat.org/oclc/13979360","WorldCat Record")</f>
        <v/>
      </c>
      <c r="AW728" t="inlineStr">
        <is>
          <t>14091380:spa</t>
        </is>
      </c>
      <c r="AX728" t="inlineStr">
        <is>
          <t>13979360</t>
        </is>
      </c>
      <c r="AY728" t="inlineStr">
        <is>
          <t>991000895829702656</t>
        </is>
      </c>
      <c r="AZ728" t="inlineStr">
        <is>
          <t>991000895829702656</t>
        </is>
      </c>
      <c r="BA728" t="inlineStr">
        <is>
          <t>2267432780002656</t>
        </is>
      </c>
      <c r="BB728" t="inlineStr">
        <is>
          <t>BOOK</t>
        </is>
      </c>
      <c r="BD728" t="inlineStr">
        <is>
          <t>9788432205453</t>
        </is>
      </c>
      <c r="BE728" t="inlineStr">
        <is>
          <t>32285000138239</t>
        </is>
      </c>
      <c r="BF728" t="inlineStr">
        <is>
          <t>893522105</t>
        </is>
      </c>
    </row>
    <row r="729">
      <c r="A729" t="inlineStr">
        <is>
          <t>No</t>
        </is>
      </c>
      <c r="B729" t="inlineStr">
        <is>
          <t>CURAL</t>
        </is>
      </c>
      <c r="C729" t="inlineStr">
        <is>
          <t>SHELVES</t>
        </is>
      </c>
      <c r="D729" t="inlineStr">
        <is>
          <t>PQ6663.E54 L3 1990</t>
        </is>
      </c>
      <c r="E729" t="inlineStr">
        <is>
          <t>0                      PQ 6663000E  54                 L  3           1990</t>
        </is>
      </c>
      <c r="F729" t="inlineStr">
        <is>
          <t>El laberinto de las aceitunas / Eduardo Mendoza.</t>
        </is>
      </c>
      <c r="H729" t="inlineStr">
        <is>
          <t>No</t>
        </is>
      </c>
      <c r="I729" t="inlineStr">
        <is>
          <t>1</t>
        </is>
      </c>
      <c r="J729" t="inlineStr">
        <is>
          <t>No</t>
        </is>
      </c>
      <c r="K729" t="inlineStr">
        <is>
          <t>No</t>
        </is>
      </c>
      <c r="L729" t="inlineStr">
        <is>
          <t>0</t>
        </is>
      </c>
      <c r="M729" t="inlineStr">
        <is>
          <t>Mendoza, Eduardo, 1943-</t>
        </is>
      </c>
      <c r="N729" t="inlineStr">
        <is>
          <t>Barcelona : Editorial Seix Barral, 1990, c1982.</t>
        </is>
      </c>
      <c r="O729" t="inlineStr">
        <is>
          <t>1990</t>
        </is>
      </c>
      <c r="P729" t="inlineStr">
        <is>
          <t>11a ed.</t>
        </is>
      </c>
      <c r="Q729" t="inlineStr">
        <is>
          <t>spa</t>
        </is>
      </c>
      <c r="R729" t="inlineStr">
        <is>
          <t xml:space="preserve">sp </t>
        </is>
      </c>
      <c r="S729" t="inlineStr">
        <is>
          <t>Biblioteca de bolsillo</t>
        </is>
      </c>
      <c r="T729" t="inlineStr">
        <is>
          <t xml:space="preserve">PQ </t>
        </is>
      </c>
      <c r="U729" t="n">
        <v>4</v>
      </c>
      <c r="V729" t="n">
        <v>4</v>
      </c>
      <c r="W729" t="inlineStr">
        <is>
          <t>1995-08-25</t>
        </is>
      </c>
      <c r="X729" t="inlineStr">
        <is>
          <t>1995-08-25</t>
        </is>
      </c>
      <c r="Y729" t="inlineStr">
        <is>
          <t>1990-06-22</t>
        </is>
      </c>
      <c r="Z729" t="inlineStr">
        <is>
          <t>1990-06-22</t>
        </is>
      </c>
      <c r="AA729" t="n">
        <v>18</v>
      </c>
      <c r="AB729" t="n">
        <v>14</v>
      </c>
      <c r="AC729" t="n">
        <v>229</v>
      </c>
      <c r="AD729" t="n">
        <v>1</v>
      </c>
      <c r="AE729" t="n">
        <v>2</v>
      </c>
      <c r="AF729" t="n">
        <v>0</v>
      </c>
      <c r="AG729" t="n">
        <v>8</v>
      </c>
      <c r="AH729" t="n">
        <v>0</v>
      </c>
      <c r="AI729" t="n">
        <v>3</v>
      </c>
      <c r="AJ729" t="n">
        <v>0</v>
      </c>
      <c r="AK729" t="n">
        <v>5</v>
      </c>
      <c r="AL729" t="n">
        <v>0</v>
      </c>
      <c r="AM729" t="n">
        <v>3</v>
      </c>
      <c r="AN729" t="n">
        <v>0</v>
      </c>
      <c r="AO729" t="n">
        <v>1</v>
      </c>
      <c r="AP729" t="n">
        <v>0</v>
      </c>
      <c r="AQ729" t="n">
        <v>0</v>
      </c>
      <c r="AR729" t="inlineStr">
        <is>
          <t>No</t>
        </is>
      </c>
      <c r="AS729" t="inlineStr">
        <is>
          <t>No</t>
        </is>
      </c>
      <c r="AU729">
        <f>HYPERLINK("https://creighton-primo.hosted.exlibrisgroup.com/primo-explore/search?tab=default_tab&amp;search_scope=EVERYTHING&amp;vid=01CRU&amp;lang=en_US&amp;offset=0&amp;query=any,contains,991001635739702656","Catalog Record")</f>
        <v/>
      </c>
      <c r="AV729">
        <f>HYPERLINK("http://www.worldcat.org/oclc/19097045","WorldCat Record")</f>
        <v/>
      </c>
      <c r="AW729" t="inlineStr">
        <is>
          <t>365229722:spa</t>
        </is>
      </c>
      <c r="AX729" t="inlineStr">
        <is>
          <t>19097045</t>
        </is>
      </c>
      <c r="AY729" t="inlineStr">
        <is>
          <t>991001635739702656</t>
        </is>
      </c>
      <c r="AZ729" t="inlineStr">
        <is>
          <t>991001635739702656</t>
        </is>
      </c>
      <c r="BA729" t="inlineStr">
        <is>
          <t>2257818750002656</t>
        </is>
      </c>
      <c r="BB729" t="inlineStr">
        <is>
          <t>BOOK</t>
        </is>
      </c>
      <c r="BD729" t="inlineStr">
        <is>
          <t>9788432230127</t>
        </is>
      </c>
      <c r="BE729" t="inlineStr">
        <is>
          <t>32285000205202</t>
        </is>
      </c>
      <c r="BF729" t="inlineStr">
        <is>
          <t>893897921</t>
        </is>
      </c>
    </row>
    <row r="730">
      <c r="A730" t="inlineStr">
        <is>
          <t>No</t>
        </is>
      </c>
      <c r="B730" t="inlineStr">
        <is>
          <t>CURAL</t>
        </is>
      </c>
      <c r="C730" t="inlineStr">
        <is>
          <t>SHELVES</t>
        </is>
      </c>
      <c r="D730" t="inlineStr">
        <is>
          <t>PQ6663.I68 A6 2000</t>
        </is>
      </c>
      <c r="E730" t="inlineStr">
        <is>
          <t>0                      PQ 6663000I  68                 A  6           2000</t>
        </is>
      </c>
      <c r="F730" t="inlineStr">
        <is>
          <t>Cuando las mujeres no podían votar ; El crepúsculo del paganismo romano / Alberto Miralles ; [prólogo de María José Ragué-Arias].</t>
        </is>
      </c>
      <c r="H730" t="inlineStr">
        <is>
          <t>No</t>
        </is>
      </c>
      <c r="I730" t="inlineStr">
        <is>
          <t>1</t>
        </is>
      </c>
      <c r="J730" t="inlineStr">
        <is>
          <t>No</t>
        </is>
      </c>
      <c r="K730" t="inlineStr">
        <is>
          <t>No</t>
        </is>
      </c>
      <c r="L730" t="inlineStr">
        <is>
          <t>0</t>
        </is>
      </c>
      <c r="M730" t="inlineStr">
        <is>
          <t>Miralles, Alberto, 1940-</t>
        </is>
      </c>
      <c r="N730" t="inlineStr">
        <is>
          <t>Madrid : Editorial Fundamentos, 2000.</t>
        </is>
      </c>
      <c r="O730" t="inlineStr">
        <is>
          <t>2000</t>
        </is>
      </c>
      <c r="P730" t="inlineStr">
        <is>
          <t>1. ed.</t>
        </is>
      </c>
      <c r="Q730" t="inlineStr">
        <is>
          <t>spa</t>
        </is>
      </c>
      <c r="R730" t="inlineStr">
        <is>
          <t xml:space="preserve">sp </t>
        </is>
      </c>
      <c r="S730" t="inlineStr">
        <is>
          <t>Espiral/teatro</t>
        </is>
      </c>
      <c r="T730" t="inlineStr">
        <is>
          <t xml:space="preserve">PQ </t>
        </is>
      </c>
      <c r="U730" t="n">
        <v>1</v>
      </c>
      <c r="V730" t="n">
        <v>1</v>
      </c>
      <c r="W730" t="inlineStr">
        <is>
          <t>2002-02-05</t>
        </is>
      </c>
      <c r="X730" t="inlineStr">
        <is>
          <t>2002-02-05</t>
        </is>
      </c>
      <c r="Y730" t="inlineStr">
        <is>
          <t>2002-02-05</t>
        </is>
      </c>
      <c r="Z730" t="inlineStr">
        <is>
          <t>2002-02-05</t>
        </is>
      </c>
      <c r="AA730" t="n">
        <v>23</v>
      </c>
      <c r="AB730" t="n">
        <v>18</v>
      </c>
      <c r="AC730" t="n">
        <v>18</v>
      </c>
      <c r="AD730" t="n">
        <v>1</v>
      </c>
      <c r="AE730" t="n">
        <v>1</v>
      </c>
      <c r="AF730" t="n">
        <v>0</v>
      </c>
      <c r="AG730" t="n">
        <v>0</v>
      </c>
      <c r="AH730" t="n">
        <v>0</v>
      </c>
      <c r="AI730" t="n">
        <v>0</v>
      </c>
      <c r="AJ730" t="n">
        <v>0</v>
      </c>
      <c r="AK730" t="n">
        <v>0</v>
      </c>
      <c r="AL730" t="n">
        <v>0</v>
      </c>
      <c r="AM730" t="n">
        <v>0</v>
      </c>
      <c r="AN730" t="n">
        <v>0</v>
      </c>
      <c r="AO730" t="n">
        <v>0</v>
      </c>
      <c r="AP730" t="n">
        <v>0</v>
      </c>
      <c r="AQ730" t="n">
        <v>0</v>
      </c>
      <c r="AR730" t="inlineStr">
        <is>
          <t>No</t>
        </is>
      </c>
      <c r="AS730" t="inlineStr">
        <is>
          <t>No</t>
        </is>
      </c>
      <c r="AU730">
        <f>HYPERLINK("https://creighton-primo.hosted.exlibrisgroup.com/primo-explore/search?tab=default_tab&amp;search_scope=EVERYTHING&amp;vid=01CRU&amp;lang=en_US&amp;offset=0&amp;query=any,contains,991003720479702656","Catalog Record")</f>
        <v/>
      </c>
      <c r="AV730">
        <f>HYPERLINK("http://www.worldcat.org/oclc/45620096","WorldCat Record")</f>
        <v/>
      </c>
      <c r="AW730" t="inlineStr">
        <is>
          <t>320183575:spa</t>
        </is>
      </c>
      <c r="AX730" t="inlineStr">
        <is>
          <t>45620096</t>
        </is>
      </c>
      <c r="AY730" t="inlineStr">
        <is>
          <t>991003720479702656</t>
        </is>
      </c>
      <c r="AZ730" t="inlineStr">
        <is>
          <t>991003720479702656</t>
        </is>
      </c>
      <c r="BA730" t="inlineStr">
        <is>
          <t>2263579360002656</t>
        </is>
      </c>
      <c r="BB730" t="inlineStr">
        <is>
          <t>BOOK</t>
        </is>
      </c>
      <c r="BD730" t="inlineStr">
        <is>
          <t>9788424508715</t>
        </is>
      </c>
      <c r="BE730" t="inlineStr">
        <is>
          <t>32285004452602</t>
        </is>
      </c>
      <c r="BF730" t="inlineStr">
        <is>
          <t>893775070</t>
        </is>
      </c>
    </row>
    <row r="731">
      <c r="A731" t="inlineStr">
        <is>
          <t>No</t>
        </is>
      </c>
      <c r="B731" t="inlineStr">
        <is>
          <t>CURAL</t>
        </is>
      </c>
      <c r="C731" t="inlineStr">
        <is>
          <t>SHELVES</t>
        </is>
      </c>
      <c r="D731" t="inlineStr">
        <is>
          <t>PQ6663.O554 Z64 2000</t>
        </is>
      </c>
      <c r="E731" t="inlineStr">
        <is>
          <t>0                      PQ 6663000O  554                Z  64          2000</t>
        </is>
      </c>
      <c r="F731" t="inlineStr">
        <is>
          <t>Synergy and subversion in the second stage novels of Rosa Montero / Mary C. Harges.</t>
        </is>
      </c>
      <c r="H731" t="inlineStr">
        <is>
          <t>No</t>
        </is>
      </c>
      <c r="I731" t="inlineStr">
        <is>
          <t>1</t>
        </is>
      </c>
      <c r="J731" t="inlineStr">
        <is>
          <t>No</t>
        </is>
      </c>
      <c r="K731" t="inlineStr">
        <is>
          <t>No</t>
        </is>
      </c>
      <c r="L731" t="inlineStr">
        <is>
          <t>0</t>
        </is>
      </c>
      <c r="M731" t="inlineStr">
        <is>
          <t>Harges, Mary C., 1951-</t>
        </is>
      </c>
      <c r="N731" t="inlineStr">
        <is>
          <t>New York : P. Lang, c2000.</t>
        </is>
      </c>
      <c r="O731" t="inlineStr">
        <is>
          <t>2000</t>
        </is>
      </c>
      <c r="Q731" t="inlineStr">
        <is>
          <t>eng</t>
        </is>
      </c>
      <c r="R731" t="inlineStr">
        <is>
          <t>nyu</t>
        </is>
      </c>
      <c r="S731" t="inlineStr">
        <is>
          <t>Nuestra voz ; vol. 6</t>
        </is>
      </c>
      <c r="T731" t="inlineStr">
        <is>
          <t xml:space="preserve">PQ </t>
        </is>
      </c>
      <c r="U731" t="n">
        <v>1</v>
      </c>
      <c r="V731" t="n">
        <v>1</v>
      </c>
      <c r="W731" t="inlineStr">
        <is>
          <t>2001-03-14</t>
        </is>
      </c>
      <c r="X731" t="inlineStr">
        <is>
          <t>2001-03-14</t>
        </is>
      </c>
      <c r="Y731" t="inlineStr">
        <is>
          <t>2001-03-14</t>
        </is>
      </c>
      <c r="Z731" t="inlineStr">
        <is>
          <t>2001-03-14</t>
        </is>
      </c>
      <c r="AA731" t="n">
        <v>165</v>
      </c>
      <c r="AB731" t="n">
        <v>122</v>
      </c>
      <c r="AC731" t="n">
        <v>122</v>
      </c>
      <c r="AD731" t="n">
        <v>2</v>
      </c>
      <c r="AE731" t="n">
        <v>2</v>
      </c>
      <c r="AF731" t="n">
        <v>9</v>
      </c>
      <c r="AG731" t="n">
        <v>9</v>
      </c>
      <c r="AH731" t="n">
        <v>1</v>
      </c>
      <c r="AI731" t="n">
        <v>1</v>
      </c>
      <c r="AJ731" t="n">
        <v>5</v>
      </c>
      <c r="AK731" t="n">
        <v>5</v>
      </c>
      <c r="AL731" t="n">
        <v>4</v>
      </c>
      <c r="AM731" t="n">
        <v>4</v>
      </c>
      <c r="AN731" t="n">
        <v>1</v>
      </c>
      <c r="AO731" t="n">
        <v>1</v>
      </c>
      <c r="AP731" t="n">
        <v>0</v>
      </c>
      <c r="AQ731" t="n">
        <v>0</v>
      </c>
      <c r="AR731" t="inlineStr">
        <is>
          <t>No</t>
        </is>
      </c>
      <c r="AS731" t="inlineStr">
        <is>
          <t>Yes</t>
        </is>
      </c>
      <c r="AT731">
        <f>HYPERLINK("http://catalog.hathitrust.org/Record/004145872","HathiTrust Record")</f>
        <v/>
      </c>
      <c r="AU731">
        <f>HYPERLINK("https://creighton-primo.hosted.exlibrisgroup.com/primo-explore/search?tab=default_tab&amp;search_scope=EVERYTHING&amp;vid=01CRU&amp;lang=en_US&amp;offset=0&amp;query=any,contains,991003511949702656","Catalog Record")</f>
        <v/>
      </c>
      <c r="AV731">
        <f>HYPERLINK("http://www.worldcat.org/oclc/44133019","WorldCat Record")</f>
        <v/>
      </c>
      <c r="AW731" t="inlineStr">
        <is>
          <t>5613491426:eng</t>
        </is>
      </c>
      <c r="AX731" t="inlineStr">
        <is>
          <t>44133019</t>
        </is>
      </c>
      <c r="AY731" t="inlineStr">
        <is>
          <t>991003511949702656</t>
        </is>
      </c>
      <c r="AZ731" t="inlineStr">
        <is>
          <t>991003511949702656</t>
        </is>
      </c>
      <c r="BA731" t="inlineStr">
        <is>
          <t>2270388880002656</t>
        </is>
      </c>
      <c r="BB731" t="inlineStr">
        <is>
          <t>BOOK</t>
        </is>
      </c>
      <c r="BD731" t="inlineStr">
        <is>
          <t>9780820451114</t>
        </is>
      </c>
      <c r="BE731" t="inlineStr">
        <is>
          <t>32285004305545</t>
        </is>
      </c>
      <c r="BF731" t="inlineStr">
        <is>
          <t>893717735</t>
        </is>
      </c>
    </row>
    <row r="732">
      <c r="A732" t="inlineStr">
        <is>
          <t>No</t>
        </is>
      </c>
      <c r="B732" t="inlineStr">
        <is>
          <t>CURAL</t>
        </is>
      </c>
      <c r="C732" t="inlineStr">
        <is>
          <t>SHELVES</t>
        </is>
      </c>
      <c r="D732" t="inlineStr">
        <is>
          <t>PQ6665.R734 F84 1995</t>
        </is>
      </c>
      <c r="E732" t="inlineStr">
        <is>
          <t>0                      PQ 6665000R  734                F  84          1995</t>
        </is>
      </c>
      <c r="F732" t="inlineStr">
        <is>
          <t>La fuente de la vida / Lourdes Ortiz.</t>
        </is>
      </c>
      <c r="H732" t="inlineStr">
        <is>
          <t>No</t>
        </is>
      </c>
      <c r="I732" t="inlineStr">
        <is>
          <t>1</t>
        </is>
      </c>
      <c r="J732" t="inlineStr">
        <is>
          <t>No</t>
        </is>
      </c>
      <c r="K732" t="inlineStr">
        <is>
          <t>No</t>
        </is>
      </c>
      <c r="L732" t="inlineStr">
        <is>
          <t>0</t>
        </is>
      </c>
      <c r="M732" t="inlineStr">
        <is>
          <t>Ortiz, Lourdes.</t>
        </is>
      </c>
      <c r="N732" t="inlineStr">
        <is>
          <t>Barcelona, España : Planeta, 1995.</t>
        </is>
      </c>
      <c r="O732" t="inlineStr">
        <is>
          <t>1995</t>
        </is>
      </c>
      <c r="P732" t="inlineStr">
        <is>
          <t>1. ed.</t>
        </is>
      </c>
      <c r="Q732" t="inlineStr">
        <is>
          <t>spa</t>
        </is>
      </c>
      <c r="R732" t="inlineStr">
        <is>
          <t xml:space="preserve">sp </t>
        </is>
      </c>
      <c r="S732" t="inlineStr">
        <is>
          <t>Autores españoles e hispanoamericanos</t>
        </is>
      </c>
      <c r="T732" t="inlineStr">
        <is>
          <t xml:space="preserve">PQ </t>
        </is>
      </c>
      <c r="U732" t="n">
        <v>0</v>
      </c>
      <c r="V732" t="n">
        <v>0</v>
      </c>
      <c r="W732" t="inlineStr">
        <is>
          <t>2005-08-26</t>
        </is>
      </c>
      <c r="X732" t="inlineStr">
        <is>
          <t>2005-08-26</t>
        </is>
      </c>
      <c r="Y732" t="inlineStr">
        <is>
          <t>1996-04-02</t>
        </is>
      </c>
      <c r="Z732" t="inlineStr">
        <is>
          <t>1996-04-02</t>
        </is>
      </c>
      <c r="AA732" t="n">
        <v>129</v>
      </c>
      <c r="AB732" t="n">
        <v>96</v>
      </c>
      <c r="AC732" t="n">
        <v>108</v>
      </c>
      <c r="AD732" t="n">
        <v>2</v>
      </c>
      <c r="AE732" t="n">
        <v>2</v>
      </c>
      <c r="AF732" t="n">
        <v>4</v>
      </c>
      <c r="AG732" t="n">
        <v>5</v>
      </c>
      <c r="AH732" t="n">
        <v>1</v>
      </c>
      <c r="AI732" t="n">
        <v>1</v>
      </c>
      <c r="AJ732" t="n">
        <v>3</v>
      </c>
      <c r="AK732" t="n">
        <v>4</v>
      </c>
      <c r="AL732" t="n">
        <v>1</v>
      </c>
      <c r="AM732" t="n">
        <v>2</v>
      </c>
      <c r="AN732" t="n">
        <v>1</v>
      </c>
      <c r="AO732" t="n">
        <v>1</v>
      </c>
      <c r="AP732" t="n">
        <v>0</v>
      </c>
      <c r="AQ732" t="n">
        <v>0</v>
      </c>
      <c r="AR732" t="inlineStr">
        <is>
          <t>No</t>
        </is>
      </c>
      <c r="AS732" t="inlineStr">
        <is>
          <t>Yes</t>
        </is>
      </c>
      <c r="AT732">
        <f>HYPERLINK("http://catalog.hathitrust.org/Record/003050019","HathiTrust Record")</f>
        <v/>
      </c>
      <c r="AU732">
        <f>HYPERLINK("https://creighton-primo.hosted.exlibrisgroup.com/primo-explore/search?tab=default_tab&amp;search_scope=EVERYTHING&amp;vid=01CRU&amp;lang=en_US&amp;offset=0&amp;query=any,contains,991002611399702656","Catalog Record")</f>
        <v/>
      </c>
      <c r="AV732">
        <f>HYPERLINK("http://www.worldcat.org/oclc/34202448","WorldCat Record")</f>
        <v/>
      </c>
      <c r="AW732" t="inlineStr">
        <is>
          <t>349936104:spa</t>
        </is>
      </c>
      <c r="AX732" t="inlineStr">
        <is>
          <t>34202448</t>
        </is>
      </c>
      <c r="AY732" t="inlineStr">
        <is>
          <t>991002611399702656</t>
        </is>
      </c>
      <c r="AZ732" t="inlineStr">
        <is>
          <t>991002611399702656</t>
        </is>
      </c>
      <c r="BA732" t="inlineStr">
        <is>
          <t>2267764270002656</t>
        </is>
      </c>
      <c r="BB732" t="inlineStr">
        <is>
          <t>BOOK</t>
        </is>
      </c>
      <c r="BD732" t="inlineStr">
        <is>
          <t>9788408016229</t>
        </is>
      </c>
      <c r="BE732" t="inlineStr">
        <is>
          <t>32285002149309</t>
        </is>
      </c>
      <c r="BF732" t="inlineStr">
        <is>
          <t>893352414</t>
        </is>
      </c>
    </row>
    <row r="733">
      <c r="A733" t="inlineStr">
        <is>
          <t>No</t>
        </is>
      </c>
      <c r="B733" t="inlineStr">
        <is>
          <t>CURAL</t>
        </is>
      </c>
      <c r="C733" t="inlineStr">
        <is>
          <t>SHELVES</t>
        </is>
      </c>
      <c r="D733" t="inlineStr">
        <is>
          <t>PQ6666.A715 A72 1982</t>
        </is>
      </c>
      <c r="E733" t="inlineStr">
        <is>
          <t>0                      PQ 6666000A  715                A  72          1982</t>
        </is>
      </c>
      <c r="F733" t="inlineStr">
        <is>
          <t>Ahora es preciso morir / Jesús Pardo.</t>
        </is>
      </c>
      <c r="H733" t="inlineStr">
        <is>
          <t>No</t>
        </is>
      </c>
      <c r="I733" t="inlineStr">
        <is>
          <t>1</t>
        </is>
      </c>
      <c r="J733" t="inlineStr">
        <is>
          <t>No</t>
        </is>
      </c>
      <c r="K733" t="inlineStr">
        <is>
          <t>No</t>
        </is>
      </c>
      <c r="L733" t="inlineStr">
        <is>
          <t>0</t>
        </is>
      </c>
      <c r="M733" t="inlineStr">
        <is>
          <t>Pardo, Jesús.</t>
        </is>
      </c>
      <c r="N733" t="inlineStr">
        <is>
          <t>Barcelona : Seix Barral, 1982.</t>
        </is>
      </c>
      <c r="O733" t="inlineStr">
        <is>
          <t>1982</t>
        </is>
      </c>
      <c r="Q733" t="inlineStr">
        <is>
          <t>spa</t>
        </is>
      </c>
      <c r="R733" t="inlineStr">
        <is>
          <t xml:space="preserve">sp </t>
        </is>
      </c>
      <c r="T733" t="inlineStr">
        <is>
          <t xml:space="preserve">PQ </t>
        </is>
      </c>
      <c r="U733" t="n">
        <v>3</v>
      </c>
      <c r="V733" t="n">
        <v>3</v>
      </c>
      <c r="W733" t="inlineStr">
        <is>
          <t>2000-01-12</t>
        </is>
      </c>
      <c r="X733" t="inlineStr">
        <is>
          <t>2000-01-12</t>
        </is>
      </c>
      <c r="Y733" t="inlineStr">
        <is>
          <t>1990-06-05</t>
        </is>
      </c>
      <c r="Z733" t="inlineStr">
        <is>
          <t>1990-06-05</t>
        </is>
      </c>
      <c r="AA733" t="n">
        <v>64</v>
      </c>
      <c r="AB733" t="n">
        <v>45</v>
      </c>
      <c r="AC733" t="n">
        <v>49</v>
      </c>
      <c r="AD733" t="n">
        <v>1</v>
      </c>
      <c r="AE733" t="n">
        <v>1</v>
      </c>
      <c r="AF733" t="n">
        <v>0</v>
      </c>
      <c r="AG733" t="n">
        <v>0</v>
      </c>
      <c r="AH733" t="n">
        <v>0</v>
      </c>
      <c r="AI733" t="n">
        <v>0</v>
      </c>
      <c r="AJ733" t="n">
        <v>0</v>
      </c>
      <c r="AK733" t="n">
        <v>0</v>
      </c>
      <c r="AL733" t="n">
        <v>0</v>
      </c>
      <c r="AM733" t="n">
        <v>0</v>
      </c>
      <c r="AN733" t="n">
        <v>0</v>
      </c>
      <c r="AO733" t="n">
        <v>0</v>
      </c>
      <c r="AP733" t="n">
        <v>0</v>
      </c>
      <c r="AQ733" t="n">
        <v>0</v>
      </c>
      <c r="AR733" t="inlineStr">
        <is>
          <t>No</t>
        </is>
      </c>
      <c r="AS733" t="inlineStr">
        <is>
          <t>Yes</t>
        </is>
      </c>
      <c r="AT733">
        <f>HYPERLINK("http://catalog.hathitrust.org/Record/001300424","HathiTrust Record")</f>
        <v/>
      </c>
      <c r="AU733">
        <f>HYPERLINK("https://creighton-primo.hosted.exlibrisgroup.com/primo-explore/search?tab=default_tab&amp;search_scope=EVERYTHING&amp;vid=01CRU&amp;lang=en_US&amp;offset=0&amp;query=any,contains,991000229489702656","Catalog Record")</f>
        <v/>
      </c>
      <c r="AV733">
        <f>HYPERLINK("http://www.worldcat.org/oclc/9625653","WorldCat Record")</f>
        <v/>
      </c>
      <c r="AW733" t="inlineStr">
        <is>
          <t>38342856:spa</t>
        </is>
      </c>
      <c r="AX733" t="inlineStr">
        <is>
          <t>9625653</t>
        </is>
      </c>
      <c r="AY733" t="inlineStr">
        <is>
          <t>991000229489702656</t>
        </is>
      </c>
      <c r="AZ733" t="inlineStr">
        <is>
          <t>991000229489702656</t>
        </is>
      </c>
      <c r="BA733" t="inlineStr">
        <is>
          <t>2271948670002656</t>
        </is>
      </c>
      <c r="BB733" t="inlineStr">
        <is>
          <t>BOOK</t>
        </is>
      </c>
      <c r="BD733" t="inlineStr">
        <is>
          <t>9788432245053</t>
        </is>
      </c>
      <c r="BE733" t="inlineStr">
        <is>
          <t>32285000159037</t>
        </is>
      </c>
      <c r="BF733" t="inlineStr">
        <is>
          <t>893865217</t>
        </is>
      </c>
    </row>
    <row r="734">
      <c r="A734" t="inlineStr">
        <is>
          <t>No</t>
        </is>
      </c>
      <c r="B734" t="inlineStr">
        <is>
          <t>CURAL</t>
        </is>
      </c>
      <c r="C734" t="inlineStr">
        <is>
          <t>SHELVES</t>
        </is>
      </c>
      <c r="D734" t="inlineStr">
        <is>
          <t>PQ6666.E765 R4513 2004</t>
        </is>
      </c>
      <c r="E734" t="inlineStr">
        <is>
          <t>0                      PQ 6666000E  765                R  4513        2004</t>
        </is>
      </c>
      <c r="F734" t="inlineStr">
        <is>
          <t>The queen of the South / Arturo Pérez-Reverte ; translated from the Spanish by Andrew Hurley.</t>
        </is>
      </c>
      <c r="H734" t="inlineStr">
        <is>
          <t>No</t>
        </is>
      </c>
      <c r="I734" t="inlineStr">
        <is>
          <t>1</t>
        </is>
      </c>
      <c r="J734" t="inlineStr">
        <is>
          <t>No</t>
        </is>
      </c>
      <c r="K734" t="inlineStr">
        <is>
          <t>No</t>
        </is>
      </c>
      <c r="L734" t="inlineStr">
        <is>
          <t>0</t>
        </is>
      </c>
      <c r="M734" t="inlineStr">
        <is>
          <t>Pérez-Reverte, Arturo.</t>
        </is>
      </c>
      <c r="N734" t="inlineStr">
        <is>
          <t>New York : G.P. Putnam's Sons, c2004.</t>
        </is>
      </c>
      <c r="O734" t="inlineStr">
        <is>
          <t>2004</t>
        </is>
      </c>
      <c r="Q734" t="inlineStr">
        <is>
          <t>eng</t>
        </is>
      </c>
      <c r="R734" t="inlineStr">
        <is>
          <t>nyu</t>
        </is>
      </c>
      <c r="T734" t="inlineStr">
        <is>
          <t xml:space="preserve">PQ </t>
        </is>
      </c>
      <c r="U734" t="n">
        <v>1</v>
      </c>
      <c r="V734" t="n">
        <v>1</v>
      </c>
      <c r="W734" t="inlineStr">
        <is>
          <t>2005-01-31</t>
        </is>
      </c>
      <c r="X734" t="inlineStr">
        <is>
          <t>2005-01-31</t>
        </is>
      </c>
      <c r="Y734" t="inlineStr">
        <is>
          <t>2005-01-31</t>
        </is>
      </c>
      <c r="Z734" t="inlineStr">
        <is>
          <t>2005-01-31</t>
        </is>
      </c>
      <c r="AA734" t="n">
        <v>1185</v>
      </c>
      <c r="AB734" t="n">
        <v>1137</v>
      </c>
      <c r="AC734" t="n">
        <v>1444</v>
      </c>
      <c r="AD734" t="n">
        <v>6</v>
      </c>
      <c r="AE734" t="n">
        <v>8</v>
      </c>
      <c r="AF734" t="n">
        <v>11</v>
      </c>
      <c r="AG734" t="n">
        <v>12</v>
      </c>
      <c r="AH734" t="n">
        <v>4</v>
      </c>
      <c r="AI734" t="n">
        <v>4</v>
      </c>
      <c r="AJ734" t="n">
        <v>2</v>
      </c>
      <c r="AK734" t="n">
        <v>2</v>
      </c>
      <c r="AL734" t="n">
        <v>7</v>
      </c>
      <c r="AM734" t="n">
        <v>8</v>
      </c>
      <c r="AN734" t="n">
        <v>1</v>
      </c>
      <c r="AO734" t="n">
        <v>1</v>
      </c>
      <c r="AP734" t="n">
        <v>0</v>
      </c>
      <c r="AQ734" t="n">
        <v>0</v>
      </c>
      <c r="AR734" t="inlineStr">
        <is>
          <t>No</t>
        </is>
      </c>
      <c r="AS734" t="inlineStr">
        <is>
          <t>Yes</t>
        </is>
      </c>
      <c r="AT734">
        <f>HYPERLINK("http://catalog.hathitrust.org/Record/004717255","HathiTrust Record")</f>
        <v/>
      </c>
      <c r="AU734">
        <f>HYPERLINK("https://creighton-primo.hosted.exlibrisgroup.com/primo-explore/search?tab=default_tab&amp;search_scope=EVERYTHING&amp;vid=01CRU&amp;lang=en_US&amp;offset=0&amp;query=any,contains,991004304659702656","Catalog Record")</f>
        <v/>
      </c>
      <c r="AV734">
        <f>HYPERLINK("http://www.worldcat.org/oclc/53231953","WorldCat Record")</f>
        <v/>
      </c>
      <c r="AW734" t="inlineStr">
        <is>
          <t>4918657364:eng</t>
        </is>
      </c>
      <c r="AX734" t="inlineStr">
        <is>
          <t>53231953</t>
        </is>
      </c>
      <c r="AY734" t="inlineStr">
        <is>
          <t>991004304659702656</t>
        </is>
      </c>
      <c r="AZ734" t="inlineStr">
        <is>
          <t>991004304659702656</t>
        </is>
      </c>
      <c r="BA734" t="inlineStr">
        <is>
          <t>2263930320002656</t>
        </is>
      </c>
      <c r="BB734" t="inlineStr">
        <is>
          <t>BOOK</t>
        </is>
      </c>
      <c r="BD734" t="inlineStr">
        <is>
          <t>9780399151859</t>
        </is>
      </c>
      <c r="BE734" t="inlineStr">
        <is>
          <t>32285005023931</t>
        </is>
      </c>
      <c r="BF734" t="inlineStr">
        <is>
          <t>893712419</t>
        </is>
      </c>
    </row>
    <row r="735">
      <c r="A735" t="inlineStr">
        <is>
          <t>No</t>
        </is>
      </c>
      <c r="B735" t="inlineStr">
        <is>
          <t>CURAL</t>
        </is>
      </c>
      <c r="C735" t="inlineStr">
        <is>
          <t>SHELVES</t>
        </is>
      </c>
      <c r="D735" t="inlineStr">
        <is>
          <t>PQ6668.I576 P6413 1997</t>
        </is>
      </c>
      <c r="E735" t="inlineStr">
        <is>
          <t>0                      PQ 6668000I  576                P  6413        1997</t>
        </is>
      </c>
      <c r="F735" t="inlineStr">
        <is>
          <t>Poundemonium / Julián Ríos ; translated by Richard Alan Francis with the author.</t>
        </is>
      </c>
      <c r="H735" t="inlineStr">
        <is>
          <t>No</t>
        </is>
      </c>
      <c r="I735" t="inlineStr">
        <is>
          <t>1</t>
        </is>
      </c>
      <c r="J735" t="inlineStr">
        <is>
          <t>No</t>
        </is>
      </c>
      <c r="K735" t="inlineStr">
        <is>
          <t>No</t>
        </is>
      </c>
      <c r="L735" t="inlineStr">
        <is>
          <t>0</t>
        </is>
      </c>
      <c r="M735" t="inlineStr">
        <is>
          <t>Ríos, Julián.</t>
        </is>
      </c>
      <c r="N735" t="inlineStr">
        <is>
          <t>Normal, IL : Dalkey Archive Press, Illinois State University, 1997.</t>
        </is>
      </c>
      <c r="O735" t="inlineStr">
        <is>
          <t>1997</t>
        </is>
      </c>
      <c r="P735" t="inlineStr">
        <is>
          <t>1st ed.</t>
        </is>
      </c>
      <c r="Q735" t="inlineStr">
        <is>
          <t>eng</t>
        </is>
      </c>
      <c r="R735" t="inlineStr">
        <is>
          <t>ilu</t>
        </is>
      </c>
      <c r="T735" t="inlineStr">
        <is>
          <t xml:space="preserve">PQ </t>
        </is>
      </c>
      <c r="U735" t="n">
        <v>1</v>
      </c>
      <c r="V735" t="n">
        <v>1</v>
      </c>
      <c r="W735" t="inlineStr">
        <is>
          <t>2005-04-05</t>
        </is>
      </c>
      <c r="X735" t="inlineStr">
        <is>
          <t>2005-04-05</t>
        </is>
      </c>
      <c r="Y735" t="inlineStr">
        <is>
          <t>2005-04-05</t>
        </is>
      </c>
      <c r="Z735" t="inlineStr">
        <is>
          <t>2005-04-05</t>
        </is>
      </c>
      <c r="AA735" t="n">
        <v>301</v>
      </c>
      <c r="AB735" t="n">
        <v>279</v>
      </c>
      <c r="AC735" t="n">
        <v>281</v>
      </c>
      <c r="AD735" t="n">
        <v>4</v>
      </c>
      <c r="AE735" t="n">
        <v>4</v>
      </c>
      <c r="AF735" t="n">
        <v>20</v>
      </c>
      <c r="AG735" t="n">
        <v>20</v>
      </c>
      <c r="AH735" t="n">
        <v>6</v>
      </c>
      <c r="AI735" t="n">
        <v>6</v>
      </c>
      <c r="AJ735" t="n">
        <v>5</v>
      </c>
      <c r="AK735" t="n">
        <v>5</v>
      </c>
      <c r="AL735" t="n">
        <v>10</v>
      </c>
      <c r="AM735" t="n">
        <v>10</v>
      </c>
      <c r="AN735" t="n">
        <v>3</v>
      </c>
      <c r="AO735" t="n">
        <v>3</v>
      </c>
      <c r="AP735" t="n">
        <v>0</v>
      </c>
      <c r="AQ735" t="n">
        <v>0</v>
      </c>
      <c r="AR735" t="inlineStr">
        <is>
          <t>No</t>
        </is>
      </c>
      <c r="AS735" t="inlineStr">
        <is>
          <t>No</t>
        </is>
      </c>
      <c r="AU735">
        <f>HYPERLINK("https://creighton-primo.hosted.exlibrisgroup.com/primo-explore/search?tab=default_tab&amp;search_scope=EVERYTHING&amp;vid=01CRU&amp;lang=en_US&amp;offset=0&amp;query=any,contains,991004505789702656","Catalog Record")</f>
        <v/>
      </c>
      <c r="AV735">
        <f>HYPERLINK("http://www.worldcat.org/oclc/34475472","WorldCat Record")</f>
        <v/>
      </c>
      <c r="AW735" t="inlineStr">
        <is>
          <t>2863552349:eng</t>
        </is>
      </c>
      <c r="AX735" t="inlineStr">
        <is>
          <t>34475472</t>
        </is>
      </c>
      <c r="AY735" t="inlineStr">
        <is>
          <t>991004505789702656</t>
        </is>
      </c>
      <c r="AZ735" t="inlineStr">
        <is>
          <t>991004505789702656</t>
        </is>
      </c>
      <c r="BA735" t="inlineStr">
        <is>
          <t>2262184450002656</t>
        </is>
      </c>
      <c r="BB735" t="inlineStr">
        <is>
          <t>BOOK</t>
        </is>
      </c>
      <c r="BD735" t="inlineStr">
        <is>
          <t>9781564781383</t>
        </is>
      </c>
      <c r="BE735" t="inlineStr">
        <is>
          <t>32285005047898</t>
        </is>
      </c>
      <c r="BF735" t="inlineStr">
        <is>
          <t>893506931</t>
        </is>
      </c>
    </row>
    <row r="736">
      <c r="A736" t="inlineStr">
        <is>
          <t>No</t>
        </is>
      </c>
      <c r="B736" t="inlineStr">
        <is>
          <t>CURAL</t>
        </is>
      </c>
      <c r="C736" t="inlineStr">
        <is>
          <t>SHELVES</t>
        </is>
      </c>
      <c r="D736" t="inlineStr">
        <is>
          <t>PQ6668.O37 A6 1986</t>
        </is>
      </c>
      <c r="E736" t="inlineStr">
        <is>
          <t>0                      PQ 6668000O  37                 A  6           1986</t>
        </is>
      </c>
      <c r="F736" t="inlineStr">
        <is>
          <t>Muestra gratis / René Rodríguesoriano.</t>
        </is>
      </c>
      <c r="H736" t="inlineStr">
        <is>
          <t>No</t>
        </is>
      </c>
      <c r="I736" t="inlineStr">
        <is>
          <t>1</t>
        </is>
      </c>
      <c r="J736" t="inlineStr">
        <is>
          <t>No</t>
        </is>
      </c>
      <c r="K736" t="inlineStr">
        <is>
          <t>No</t>
        </is>
      </c>
      <c r="L736" t="inlineStr">
        <is>
          <t>0</t>
        </is>
      </c>
      <c r="M736" t="inlineStr">
        <is>
          <t>Rodríguez Soriano, René, 1950-</t>
        </is>
      </c>
      <c r="N736" t="inlineStr">
        <is>
          <t>Santo Domingo, D.N. : R. Rodríguesoriano, 1986.</t>
        </is>
      </c>
      <c r="O736" t="inlineStr">
        <is>
          <t>1986</t>
        </is>
      </c>
      <c r="P736" t="inlineStr">
        <is>
          <t>1. ed.</t>
        </is>
      </c>
      <c r="Q736" t="inlineStr">
        <is>
          <t>spa</t>
        </is>
      </c>
      <c r="R736" t="inlineStr">
        <is>
          <t xml:space="preserve">dr </t>
        </is>
      </c>
      <c r="T736" t="inlineStr">
        <is>
          <t xml:space="preserve">PQ </t>
        </is>
      </c>
      <c r="U736" t="n">
        <v>1</v>
      </c>
      <c r="V736" t="n">
        <v>1</v>
      </c>
      <c r="W736" t="inlineStr">
        <is>
          <t>2004-08-05</t>
        </is>
      </c>
      <c r="X736" t="inlineStr">
        <is>
          <t>2004-08-05</t>
        </is>
      </c>
      <c r="Y736" t="inlineStr">
        <is>
          <t>2004-08-05</t>
        </is>
      </c>
      <c r="Z736" t="inlineStr">
        <is>
          <t>2004-08-05</t>
        </is>
      </c>
      <c r="AA736" t="n">
        <v>13</v>
      </c>
      <c r="AB736" t="n">
        <v>10</v>
      </c>
      <c r="AC736" t="n">
        <v>23</v>
      </c>
      <c r="AD736" t="n">
        <v>1</v>
      </c>
      <c r="AE736" t="n">
        <v>1</v>
      </c>
      <c r="AF736" t="n">
        <v>0</v>
      </c>
      <c r="AG736" t="n">
        <v>0</v>
      </c>
      <c r="AH736" t="n">
        <v>0</v>
      </c>
      <c r="AI736" t="n">
        <v>0</v>
      </c>
      <c r="AJ736" t="n">
        <v>0</v>
      </c>
      <c r="AK736" t="n">
        <v>0</v>
      </c>
      <c r="AL736" t="n">
        <v>0</v>
      </c>
      <c r="AM736" t="n">
        <v>0</v>
      </c>
      <c r="AN736" t="n">
        <v>0</v>
      </c>
      <c r="AO736" t="n">
        <v>0</v>
      </c>
      <c r="AP736" t="n">
        <v>0</v>
      </c>
      <c r="AQ736" t="n">
        <v>0</v>
      </c>
      <c r="AR736" t="inlineStr">
        <is>
          <t>No</t>
        </is>
      </c>
      <c r="AS736" t="inlineStr">
        <is>
          <t>No</t>
        </is>
      </c>
      <c r="AU736">
        <f>HYPERLINK("https://creighton-primo.hosted.exlibrisgroup.com/primo-explore/search?tab=default_tab&amp;search_scope=EVERYTHING&amp;vid=01CRU&amp;lang=en_US&amp;offset=0&amp;query=any,contains,991004339529702656","Catalog Record")</f>
        <v/>
      </c>
      <c r="AV736">
        <f>HYPERLINK("http://www.worldcat.org/oclc/17873060","WorldCat Record")</f>
        <v/>
      </c>
      <c r="AW736" t="inlineStr">
        <is>
          <t>16664196:spa</t>
        </is>
      </c>
      <c r="AX736" t="inlineStr">
        <is>
          <t>17873060</t>
        </is>
      </c>
      <c r="AY736" t="inlineStr">
        <is>
          <t>991004339529702656</t>
        </is>
      </c>
      <c r="AZ736" t="inlineStr">
        <is>
          <t>991004339529702656</t>
        </is>
      </c>
      <c r="BA736" t="inlineStr">
        <is>
          <t>2269489060002656</t>
        </is>
      </c>
      <c r="BB736" t="inlineStr">
        <is>
          <t>BOOK</t>
        </is>
      </c>
      <c r="BE736" t="inlineStr">
        <is>
          <t>32285004929195</t>
        </is>
      </c>
      <c r="BF736" t="inlineStr">
        <is>
          <t>893888590</t>
        </is>
      </c>
    </row>
    <row r="737">
      <c r="A737" t="inlineStr">
        <is>
          <t>No</t>
        </is>
      </c>
      <c r="B737" t="inlineStr">
        <is>
          <t>CURAL</t>
        </is>
      </c>
      <c r="C737" t="inlineStr">
        <is>
          <t>SHELVES</t>
        </is>
      </c>
      <c r="D737" t="inlineStr">
        <is>
          <t>PQ6669.A6416 C47 2003</t>
        </is>
      </c>
      <c r="E737" t="inlineStr">
        <is>
          <t>0                      PQ 6669000A  6416               C  47          2003</t>
        </is>
      </c>
      <c r="F737" t="inlineStr">
        <is>
          <t>The siege of Leningrad : a story without end = El cerco de Leningrado : historia sin final / Josae Sanchis Sinisterra ; translated from the Spanish by Mary-Alice Lessing.</t>
        </is>
      </c>
      <c r="H737" t="inlineStr">
        <is>
          <t>No</t>
        </is>
      </c>
      <c r="I737" t="inlineStr">
        <is>
          <t>1</t>
        </is>
      </c>
      <c r="J737" t="inlineStr">
        <is>
          <t>No</t>
        </is>
      </c>
      <c r="K737" t="inlineStr">
        <is>
          <t>No</t>
        </is>
      </c>
      <c r="L737" t="inlineStr">
        <is>
          <t>0</t>
        </is>
      </c>
      <c r="M737" t="inlineStr">
        <is>
          <t>Sanchis Sinisterra, Josae.</t>
        </is>
      </c>
      <c r="N737" t="inlineStr">
        <is>
          <t>New Brunswick, N.J. : Estreno Plays, 2003.</t>
        </is>
      </c>
      <c r="O737" t="inlineStr">
        <is>
          <t>2003</t>
        </is>
      </c>
      <c r="Q737" t="inlineStr">
        <is>
          <t>eng</t>
        </is>
      </c>
      <c r="R737" t="inlineStr">
        <is>
          <t>nju</t>
        </is>
      </c>
      <c r="S737" t="inlineStr">
        <is>
          <t>Estreno contemporary Spanish plays ; 24</t>
        </is>
      </c>
      <c r="T737" t="inlineStr">
        <is>
          <t xml:space="preserve">PQ </t>
        </is>
      </c>
      <c r="U737" t="n">
        <v>1</v>
      </c>
      <c r="V737" t="n">
        <v>1</v>
      </c>
      <c r="W737" t="inlineStr">
        <is>
          <t>2004-05-19</t>
        </is>
      </c>
      <c r="X737" t="inlineStr">
        <is>
          <t>2004-05-19</t>
        </is>
      </c>
      <c r="Y737" t="inlineStr">
        <is>
          <t>2004-05-19</t>
        </is>
      </c>
      <c r="Z737" t="inlineStr">
        <is>
          <t>2004-05-19</t>
        </is>
      </c>
      <c r="AA737" t="n">
        <v>195</v>
      </c>
      <c r="AB737" t="n">
        <v>178</v>
      </c>
      <c r="AC737" t="n">
        <v>180</v>
      </c>
      <c r="AD737" t="n">
        <v>2</v>
      </c>
      <c r="AE737" t="n">
        <v>2</v>
      </c>
      <c r="AF737" t="n">
        <v>14</v>
      </c>
      <c r="AG737" t="n">
        <v>14</v>
      </c>
      <c r="AH737" t="n">
        <v>4</v>
      </c>
      <c r="AI737" t="n">
        <v>4</v>
      </c>
      <c r="AJ737" t="n">
        <v>4</v>
      </c>
      <c r="AK737" t="n">
        <v>4</v>
      </c>
      <c r="AL737" t="n">
        <v>10</v>
      </c>
      <c r="AM737" t="n">
        <v>10</v>
      </c>
      <c r="AN737" t="n">
        <v>1</v>
      </c>
      <c r="AO737" t="n">
        <v>1</v>
      </c>
      <c r="AP737" t="n">
        <v>0</v>
      </c>
      <c r="AQ737" t="n">
        <v>0</v>
      </c>
      <c r="AR737" t="inlineStr">
        <is>
          <t>No</t>
        </is>
      </c>
      <c r="AS737" t="inlineStr">
        <is>
          <t>Yes</t>
        </is>
      </c>
      <c r="AT737">
        <f>HYPERLINK("http://catalog.hathitrust.org/Record/003898262","HathiTrust Record")</f>
        <v/>
      </c>
      <c r="AU737">
        <f>HYPERLINK("https://creighton-primo.hosted.exlibrisgroup.com/primo-explore/search?tab=default_tab&amp;search_scope=EVERYTHING&amp;vid=01CRU&amp;lang=en_US&amp;offset=0&amp;query=any,contains,991004301739702656","Catalog Record")</f>
        <v/>
      </c>
      <c r="AV737">
        <f>HYPERLINK("http://www.worldcat.org/oclc/53052673","WorldCat Record")</f>
        <v/>
      </c>
      <c r="AW737" t="inlineStr">
        <is>
          <t>4020261984:eng</t>
        </is>
      </c>
      <c r="AX737" t="inlineStr">
        <is>
          <t>53052673</t>
        </is>
      </c>
      <c r="AY737" t="inlineStr">
        <is>
          <t>991004301739702656</t>
        </is>
      </c>
      <c r="AZ737" t="inlineStr">
        <is>
          <t>991004301739702656</t>
        </is>
      </c>
      <c r="BA737" t="inlineStr">
        <is>
          <t>2267317180002656</t>
        </is>
      </c>
      <c r="BB737" t="inlineStr">
        <is>
          <t>BOOK</t>
        </is>
      </c>
      <c r="BD737" t="inlineStr">
        <is>
          <t>9781888463163</t>
        </is>
      </c>
      <c r="BE737" t="inlineStr">
        <is>
          <t>32285004906052</t>
        </is>
      </c>
      <c r="BF737" t="inlineStr">
        <is>
          <t>893712414</t>
        </is>
      </c>
    </row>
    <row r="738">
      <c r="A738" t="inlineStr">
        <is>
          <t>No</t>
        </is>
      </c>
      <c r="B738" t="inlineStr">
        <is>
          <t>CURAL</t>
        </is>
      </c>
      <c r="C738" t="inlineStr">
        <is>
          <t>SHELVES</t>
        </is>
      </c>
      <c r="D738" t="inlineStr">
        <is>
          <t>PQ6669.A653 G53 1998</t>
        </is>
      </c>
      <c r="E738" t="inlineStr">
        <is>
          <t>0                      PQ 6669000A  653                G  53          1998</t>
        </is>
      </c>
      <c r="F738" t="inlineStr">
        <is>
          <t>El gladiador de Chueca / Carlos Sanrune.</t>
        </is>
      </c>
      <c r="H738" t="inlineStr">
        <is>
          <t>No</t>
        </is>
      </c>
      <c r="I738" t="inlineStr">
        <is>
          <t>1</t>
        </is>
      </c>
      <c r="J738" t="inlineStr">
        <is>
          <t>No</t>
        </is>
      </c>
      <c r="K738" t="inlineStr">
        <is>
          <t>No</t>
        </is>
      </c>
      <c r="L738" t="inlineStr">
        <is>
          <t>0</t>
        </is>
      </c>
      <c r="M738" t="inlineStr">
        <is>
          <t>Sanrune, Carlos, 1960-</t>
        </is>
      </c>
      <c r="N738" t="inlineStr">
        <is>
          <t>Barcelona : Editorial Laertes, 1998.</t>
        </is>
      </c>
      <c r="O738" t="inlineStr">
        <is>
          <t>1998</t>
        </is>
      </c>
      <c r="P738" t="inlineStr">
        <is>
          <t>3. ed.</t>
        </is>
      </c>
      <c r="Q738" t="inlineStr">
        <is>
          <t>spa</t>
        </is>
      </c>
      <c r="R738" t="inlineStr">
        <is>
          <t xml:space="preserve">sp </t>
        </is>
      </c>
      <c r="T738" t="inlineStr">
        <is>
          <t xml:space="preserve">PQ </t>
        </is>
      </c>
      <c r="U738" t="n">
        <v>1</v>
      </c>
      <c r="V738" t="n">
        <v>1</v>
      </c>
      <c r="W738" t="inlineStr">
        <is>
          <t>2001-01-22</t>
        </is>
      </c>
      <c r="X738" t="inlineStr">
        <is>
          <t>2001-01-22</t>
        </is>
      </c>
      <c r="Y738" t="inlineStr">
        <is>
          <t>2001-01-22</t>
        </is>
      </c>
      <c r="Z738" t="inlineStr">
        <is>
          <t>2001-01-22</t>
        </is>
      </c>
      <c r="AA738" t="n">
        <v>25</v>
      </c>
      <c r="AB738" t="n">
        <v>20</v>
      </c>
      <c r="AC738" t="n">
        <v>31</v>
      </c>
      <c r="AD738" t="n">
        <v>1</v>
      </c>
      <c r="AE738" t="n">
        <v>1</v>
      </c>
      <c r="AF738" t="n">
        <v>0</v>
      </c>
      <c r="AG738" t="n">
        <v>0</v>
      </c>
      <c r="AH738" t="n">
        <v>0</v>
      </c>
      <c r="AI738" t="n">
        <v>0</v>
      </c>
      <c r="AJ738" t="n">
        <v>0</v>
      </c>
      <c r="AK738" t="n">
        <v>0</v>
      </c>
      <c r="AL738" t="n">
        <v>0</v>
      </c>
      <c r="AM738" t="n">
        <v>0</v>
      </c>
      <c r="AN738" t="n">
        <v>0</v>
      </c>
      <c r="AO738" t="n">
        <v>0</v>
      </c>
      <c r="AP738" t="n">
        <v>0</v>
      </c>
      <c r="AQ738" t="n">
        <v>0</v>
      </c>
      <c r="AR738" t="inlineStr">
        <is>
          <t>No</t>
        </is>
      </c>
      <c r="AS738" t="inlineStr">
        <is>
          <t>No</t>
        </is>
      </c>
      <c r="AU738">
        <f>HYPERLINK("https://creighton-primo.hosted.exlibrisgroup.com/primo-explore/search?tab=default_tab&amp;search_scope=EVERYTHING&amp;vid=01CRU&amp;lang=en_US&amp;offset=0&amp;query=any,contains,991003252809702656","Catalog Record")</f>
        <v/>
      </c>
      <c r="AV738">
        <f>HYPERLINK("http://www.worldcat.org/oclc/29705058","WorldCat Record")</f>
        <v/>
      </c>
      <c r="AW738" t="inlineStr">
        <is>
          <t>389252050:spa</t>
        </is>
      </c>
      <c r="AX738" t="inlineStr">
        <is>
          <t>29705058</t>
        </is>
      </c>
      <c r="AY738" t="inlineStr">
        <is>
          <t>991003252809702656</t>
        </is>
      </c>
      <c r="AZ738" t="inlineStr">
        <is>
          <t>991003252809702656</t>
        </is>
      </c>
      <c r="BA738" t="inlineStr">
        <is>
          <t>2260528500002656</t>
        </is>
      </c>
      <c r="BB738" t="inlineStr">
        <is>
          <t>BOOK</t>
        </is>
      </c>
      <c r="BD738" t="inlineStr">
        <is>
          <t>9788475841861</t>
        </is>
      </c>
      <c r="BE738" t="inlineStr">
        <is>
          <t>32285004290671</t>
        </is>
      </c>
      <c r="BF738" t="inlineStr">
        <is>
          <t>893336293</t>
        </is>
      </c>
    </row>
    <row r="739">
      <c r="A739" t="inlineStr">
        <is>
          <t>No</t>
        </is>
      </c>
      <c r="B739" t="inlineStr">
        <is>
          <t>CURAL</t>
        </is>
      </c>
      <c r="C739" t="inlineStr">
        <is>
          <t>SHELVES</t>
        </is>
      </c>
      <c r="D739" t="inlineStr">
        <is>
          <t>PQ6672.A92 G3513 1992</t>
        </is>
      </c>
      <c r="E739" t="inlineStr">
        <is>
          <t>0                      PQ 6672000A  92                 G  3513        1992</t>
        </is>
      </c>
      <c r="F739" t="inlineStr">
        <is>
          <t>Galíndez / Manuel Vázquez Montalbán ; translated from the Spanish by Carol and Thomas Christensen.</t>
        </is>
      </c>
      <c r="H739" t="inlineStr">
        <is>
          <t>No</t>
        </is>
      </c>
      <c r="I739" t="inlineStr">
        <is>
          <t>1</t>
        </is>
      </c>
      <c r="J739" t="inlineStr">
        <is>
          <t>No</t>
        </is>
      </c>
      <c r="K739" t="inlineStr">
        <is>
          <t>No</t>
        </is>
      </c>
      <c r="L739" t="inlineStr">
        <is>
          <t>0</t>
        </is>
      </c>
      <c r="M739" t="inlineStr">
        <is>
          <t>Vázquez Montalbán, Manuel.</t>
        </is>
      </c>
      <c r="N739" t="inlineStr">
        <is>
          <t>New York : Atheneum ; Toronto : Maxwell Macmillan Canada, 1992.</t>
        </is>
      </c>
      <c r="O739" t="inlineStr">
        <is>
          <t>1992</t>
        </is>
      </c>
      <c r="Q739" t="inlineStr">
        <is>
          <t>eng</t>
        </is>
      </c>
      <c r="R739" t="inlineStr">
        <is>
          <t>nyu</t>
        </is>
      </c>
      <c r="T739" t="inlineStr">
        <is>
          <t xml:space="preserve">PQ </t>
        </is>
      </c>
      <c r="U739" t="n">
        <v>2</v>
      </c>
      <c r="V739" t="n">
        <v>2</v>
      </c>
      <c r="W739" t="inlineStr">
        <is>
          <t>2004-01-24</t>
        </is>
      </c>
      <c r="X739" t="inlineStr">
        <is>
          <t>2004-01-24</t>
        </is>
      </c>
      <c r="Y739" t="inlineStr">
        <is>
          <t>2002-04-29</t>
        </is>
      </c>
      <c r="Z739" t="inlineStr">
        <is>
          <t>2002-04-29</t>
        </is>
      </c>
      <c r="AA739" t="n">
        <v>258</v>
      </c>
      <c r="AB739" t="n">
        <v>239</v>
      </c>
      <c r="AC739" t="n">
        <v>244</v>
      </c>
      <c r="AD739" t="n">
        <v>2</v>
      </c>
      <c r="AE739" t="n">
        <v>2</v>
      </c>
      <c r="AF739" t="n">
        <v>10</v>
      </c>
      <c r="AG739" t="n">
        <v>10</v>
      </c>
      <c r="AH739" t="n">
        <v>1</v>
      </c>
      <c r="AI739" t="n">
        <v>1</v>
      </c>
      <c r="AJ739" t="n">
        <v>3</v>
      </c>
      <c r="AK739" t="n">
        <v>3</v>
      </c>
      <c r="AL739" t="n">
        <v>7</v>
      </c>
      <c r="AM739" t="n">
        <v>7</v>
      </c>
      <c r="AN739" t="n">
        <v>1</v>
      </c>
      <c r="AO739" t="n">
        <v>1</v>
      </c>
      <c r="AP739" t="n">
        <v>0</v>
      </c>
      <c r="AQ739" t="n">
        <v>0</v>
      </c>
      <c r="AR739" t="inlineStr">
        <is>
          <t>No</t>
        </is>
      </c>
      <c r="AS739" t="inlineStr">
        <is>
          <t>No</t>
        </is>
      </c>
      <c r="AU739">
        <f>HYPERLINK("https://creighton-primo.hosted.exlibrisgroup.com/primo-explore/search?tab=default_tab&amp;search_scope=EVERYTHING&amp;vid=01CRU&amp;lang=en_US&amp;offset=0&amp;query=any,contains,991003773169702656","Catalog Record")</f>
        <v/>
      </c>
      <c r="AV739">
        <f>HYPERLINK("http://www.worldcat.org/oclc/25093247","WorldCat Record")</f>
        <v/>
      </c>
      <c r="AW739" t="inlineStr">
        <is>
          <t>17193518:eng</t>
        </is>
      </c>
      <c r="AX739" t="inlineStr">
        <is>
          <t>25093247</t>
        </is>
      </c>
      <c r="AY739" t="inlineStr">
        <is>
          <t>991003773169702656</t>
        </is>
      </c>
      <c r="AZ739" t="inlineStr">
        <is>
          <t>991003773169702656</t>
        </is>
      </c>
      <c r="BA739" t="inlineStr">
        <is>
          <t>2263121900002656</t>
        </is>
      </c>
      <c r="BB739" t="inlineStr">
        <is>
          <t>BOOK</t>
        </is>
      </c>
      <c r="BD739" t="inlineStr">
        <is>
          <t>9780689121210</t>
        </is>
      </c>
      <c r="BE739" t="inlineStr">
        <is>
          <t>32285004484050</t>
        </is>
      </c>
      <c r="BF739" t="inlineStr">
        <is>
          <t>893598962</t>
        </is>
      </c>
    </row>
    <row r="740">
      <c r="A740" t="inlineStr">
        <is>
          <t>No</t>
        </is>
      </c>
      <c r="B740" t="inlineStr">
        <is>
          <t>CURAL</t>
        </is>
      </c>
      <c r="C740" t="inlineStr">
        <is>
          <t>SHELVES</t>
        </is>
      </c>
      <c r="D740" t="inlineStr">
        <is>
          <t>PQ671 .D37 1982</t>
        </is>
      </c>
      <c r="E740" t="inlineStr">
        <is>
          <t>0                      PQ 0671000D  37          1982</t>
        </is>
      </c>
      <c r="F740" t="inlineStr">
        <is>
          <t>Realism, reality, and the fictional theory of Alain Robbe-Grillet and Anais Nin / Patricia A. Deduck.</t>
        </is>
      </c>
      <c r="H740" t="inlineStr">
        <is>
          <t>No</t>
        </is>
      </c>
      <c r="I740" t="inlineStr">
        <is>
          <t>1</t>
        </is>
      </c>
      <c r="J740" t="inlineStr">
        <is>
          <t>No</t>
        </is>
      </c>
      <c r="K740" t="inlineStr">
        <is>
          <t>No</t>
        </is>
      </c>
      <c r="L740" t="inlineStr">
        <is>
          <t>0</t>
        </is>
      </c>
      <c r="M740" t="inlineStr">
        <is>
          <t>Deduck, Patricia A.</t>
        </is>
      </c>
      <c r="N740" t="inlineStr">
        <is>
          <t>Washington, D.C. : University Press of America, c1982.</t>
        </is>
      </c>
      <c r="O740" t="inlineStr">
        <is>
          <t>1982</t>
        </is>
      </c>
      <c r="Q740" t="inlineStr">
        <is>
          <t>eng</t>
        </is>
      </c>
      <c r="R740" t="inlineStr">
        <is>
          <t>dcu</t>
        </is>
      </c>
      <c r="T740" t="inlineStr">
        <is>
          <t xml:space="preserve">PQ </t>
        </is>
      </c>
      <c r="U740" t="n">
        <v>2</v>
      </c>
      <c r="V740" t="n">
        <v>2</v>
      </c>
      <c r="W740" t="inlineStr">
        <is>
          <t>1995-04-26</t>
        </is>
      </c>
      <c r="X740" t="inlineStr">
        <is>
          <t>1995-04-26</t>
        </is>
      </c>
      <c r="Y740" t="inlineStr">
        <is>
          <t>1992-08-04</t>
        </is>
      </c>
      <c r="Z740" t="inlineStr">
        <is>
          <t>1992-08-04</t>
        </is>
      </c>
      <c r="AA740" t="n">
        <v>191</v>
      </c>
      <c r="AB740" t="n">
        <v>135</v>
      </c>
      <c r="AC740" t="n">
        <v>136</v>
      </c>
      <c r="AD740" t="n">
        <v>3</v>
      </c>
      <c r="AE740" t="n">
        <v>3</v>
      </c>
      <c r="AF740" t="n">
        <v>7</v>
      </c>
      <c r="AG740" t="n">
        <v>7</v>
      </c>
      <c r="AH740" t="n">
        <v>2</v>
      </c>
      <c r="AI740" t="n">
        <v>2</v>
      </c>
      <c r="AJ740" t="n">
        <v>2</v>
      </c>
      <c r="AK740" t="n">
        <v>2</v>
      </c>
      <c r="AL740" t="n">
        <v>4</v>
      </c>
      <c r="AM740" t="n">
        <v>4</v>
      </c>
      <c r="AN740" t="n">
        <v>2</v>
      </c>
      <c r="AO740" t="n">
        <v>2</v>
      </c>
      <c r="AP740" t="n">
        <v>0</v>
      </c>
      <c r="AQ740" t="n">
        <v>0</v>
      </c>
      <c r="AR740" t="inlineStr">
        <is>
          <t>No</t>
        </is>
      </c>
      <c r="AS740" t="inlineStr">
        <is>
          <t>Yes</t>
        </is>
      </c>
      <c r="AT740">
        <f>HYPERLINK("http://catalog.hathitrust.org/Record/007285587","HathiTrust Record")</f>
        <v/>
      </c>
      <c r="AU740">
        <f>HYPERLINK("https://creighton-primo.hosted.exlibrisgroup.com/primo-explore/search?tab=default_tab&amp;search_scope=EVERYTHING&amp;vid=01CRU&amp;lang=en_US&amp;offset=0&amp;query=any,contains,991000050639702656","Catalog Record")</f>
        <v/>
      </c>
      <c r="AV740">
        <f>HYPERLINK("http://www.worldcat.org/oclc/8688137","WorldCat Record")</f>
        <v/>
      </c>
      <c r="AW740" t="inlineStr">
        <is>
          <t>3856653734:eng</t>
        </is>
      </c>
      <c r="AX740" t="inlineStr">
        <is>
          <t>8688137</t>
        </is>
      </c>
      <c r="AY740" t="inlineStr">
        <is>
          <t>991000050639702656</t>
        </is>
      </c>
      <c r="AZ740" t="inlineStr">
        <is>
          <t>991000050639702656</t>
        </is>
      </c>
      <c r="BA740" t="inlineStr">
        <is>
          <t>2272700140002656</t>
        </is>
      </c>
      <c r="BB740" t="inlineStr">
        <is>
          <t>BOOK</t>
        </is>
      </c>
      <c r="BD740" t="inlineStr">
        <is>
          <t>9780819127204</t>
        </is>
      </c>
      <c r="BE740" t="inlineStr">
        <is>
          <t>32285001251379</t>
        </is>
      </c>
      <c r="BF740" t="inlineStr">
        <is>
          <t>893689363</t>
        </is>
      </c>
    </row>
    <row r="741">
      <c r="A741" t="inlineStr">
        <is>
          <t>No</t>
        </is>
      </c>
      <c r="B741" t="inlineStr">
        <is>
          <t>CURAL</t>
        </is>
      </c>
      <c r="C741" t="inlineStr">
        <is>
          <t>SHELVES</t>
        </is>
      </c>
      <c r="D741" t="inlineStr">
        <is>
          <t>PQ671 .L45 1962</t>
        </is>
      </c>
      <c r="E741" t="inlineStr">
        <is>
          <t>0                      PQ 0671000L  45          1962</t>
        </is>
      </c>
      <c r="F741" t="inlineStr">
        <is>
          <t>The French new novel : an introduction and a sampler / Laurent Le Sage.</t>
        </is>
      </c>
      <c r="H741" t="inlineStr">
        <is>
          <t>No</t>
        </is>
      </c>
      <c r="I741" t="inlineStr">
        <is>
          <t>1</t>
        </is>
      </c>
      <c r="J741" t="inlineStr">
        <is>
          <t>No</t>
        </is>
      </c>
      <c r="K741" t="inlineStr">
        <is>
          <t>No</t>
        </is>
      </c>
      <c r="L741" t="inlineStr">
        <is>
          <t>0</t>
        </is>
      </c>
      <c r="M741" t="inlineStr">
        <is>
          <t>Le Sage, Laurent, 1913-2003.</t>
        </is>
      </c>
      <c r="N741" t="inlineStr">
        <is>
          <t>University Park : Pennsylvania State University Press, c1962, 1977 printing.</t>
        </is>
      </c>
      <c r="O741" t="inlineStr">
        <is>
          <t>1962</t>
        </is>
      </c>
      <c r="Q741" t="inlineStr">
        <is>
          <t>eng</t>
        </is>
      </c>
      <c r="R741" t="inlineStr">
        <is>
          <t>pau</t>
        </is>
      </c>
      <c r="T741" t="inlineStr">
        <is>
          <t xml:space="preserve">PQ </t>
        </is>
      </c>
      <c r="U741" t="n">
        <v>2</v>
      </c>
      <c r="V741" t="n">
        <v>2</v>
      </c>
      <c r="W741" t="inlineStr">
        <is>
          <t>1995-04-26</t>
        </is>
      </c>
      <c r="X741" t="inlineStr">
        <is>
          <t>1995-04-26</t>
        </is>
      </c>
      <c r="Y741" t="inlineStr">
        <is>
          <t>1992-08-04</t>
        </is>
      </c>
      <c r="Z741" t="inlineStr">
        <is>
          <t>1992-08-04</t>
        </is>
      </c>
      <c r="AA741" t="n">
        <v>880</v>
      </c>
      <c r="AB741" t="n">
        <v>786</v>
      </c>
      <c r="AC741" t="n">
        <v>796</v>
      </c>
      <c r="AD741" t="n">
        <v>7</v>
      </c>
      <c r="AE741" t="n">
        <v>7</v>
      </c>
      <c r="AF741" t="n">
        <v>41</v>
      </c>
      <c r="AG741" t="n">
        <v>41</v>
      </c>
      <c r="AH741" t="n">
        <v>16</v>
      </c>
      <c r="AI741" t="n">
        <v>16</v>
      </c>
      <c r="AJ741" t="n">
        <v>6</v>
      </c>
      <c r="AK741" t="n">
        <v>6</v>
      </c>
      <c r="AL741" t="n">
        <v>19</v>
      </c>
      <c r="AM741" t="n">
        <v>19</v>
      </c>
      <c r="AN741" t="n">
        <v>6</v>
      </c>
      <c r="AO741" t="n">
        <v>6</v>
      </c>
      <c r="AP741" t="n">
        <v>0</v>
      </c>
      <c r="AQ741" t="n">
        <v>0</v>
      </c>
      <c r="AR741" t="inlineStr">
        <is>
          <t>No</t>
        </is>
      </c>
      <c r="AS741" t="inlineStr">
        <is>
          <t>Yes</t>
        </is>
      </c>
      <c r="AT741">
        <f>HYPERLINK("http://catalog.hathitrust.org/Record/001014567","HathiTrust Record")</f>
        <v/>
      </c>
      <c r="AU741">
        <f>HYPERLINK("https://creighton-primo.hosted.exlibrisgroup.com/primo-explore/search?tab=default_tab&amp;search_scope=EVERYTHING&amp;vid=01CRU&amp;lang=en_US&amp;offset=0&amp;query=any,contains,991003827599702656","Catalog Record")</f>
        <v/>
      </c>
      <c r="AV741">
        <f>HYPERLINK("http://www.worldcat.org/oclc/1580991","WorldCat Record")</f>
        <v/>
      </c>
      <c r="AW741" t="inlineStr">
        <is>
          <t>891851100:eng</t>
        </is>
      </c>
      <c r="AX741" t="inlineStr">
        <is>
          <t>1580991</t>
        </is>
      </c>
      <c r="AY741" t="inlineStr">
        <is>
          <t>991003827599702656</t>
        </is>
      </c>
      <c r="AZ741" t="inlineStr">
        <is>
          <t>991003827599702656</t>
        </is>
      </c>
      <c r="BA741" t="inlineStr">
        <is>
          <t>2270341140002656</t>
        </is>
      </c>
      <c r="BB741" t="inlineStr">
        <is>
          <t>BOOK</t>
        </is>
      </c>
      <c r="BE741" t="inlineStr">
        <is>
          <t>32285001251395</t>
        </is>
      </c>
      <c r="BF741" t="inlineStr">
        <is>
          <t>893900425</t>
        </is>
      </c>
    </row>
    <row r="742">
      <c r="A742" t="inlineStr">
        <is>
          <t>No</t>
        </is>
      </c>
      <c r="B742" t="inlineStr">
        <is>
          <t>CURAL</t>
        </is>
      </c>
      <c r="C742" t="inlineStr">
        <is>
          <t>SHELVES</t>
        </is>
      </c>
      <c r="D742" t="inlineStr">
        <is>
          <t>PQ673 .K4 1986</t>
        </is>
      </c>
      <c r="E742" t="inlineStr">
        <is>
          <t>0                      PQ 0673000K  4           1986</t>
        </is>
      </c>
      <c r="F742" t="inlineStr">
        <is>
          <t>French existentialist fiction : changing moral perspectives / Terry Keefe.</t>
        </is>
      </c>
      <c r="H742" t="inlineStr">
        <is>
          <t>No</t>
        </is>
      </c>
      <c r="I742" t="inlineStr">
        <is>
          <t>1</t>
        </is>
      </c>
      <c r="J742" t="inlineStr">
        <is>
          <t>No</t>
        </is>
      </c>
      <c r="K742" t="inlineStr">
        <is>
          <t>No</t>
        </is>
      </c>
      <c r="L742" t="inlineStr">
        <is>
          <t>0</t>
        </is>
      </c>
      <c r="M742" t="inlineStr">
        <is>
          <t>Keefe, Terry.</t>
        </is>
      </c>
      <c r="N742" t="inlineStr">
        <is>
          <t>Totowa, N.J. : Barnes &amp; Noble, 1986.</t>
        </is>
      </c>
      <c r="O742" t="inlineStr">
        <is>
          <t>1986</t>
        </is>
      </c>
      <c r="Q742" t="inlineStr">
        <is>
          <t>eng</t>
        </is>
      </c>
      <c r="R742" t="inlineStr">
        <is>
          <t>nju</t>
        </is>
      </c>
      <c r="T742" t="inlineStr">
        <is>
          <t xml:space="preserve">PQ </t>
        </is>
      </c>
      <c r="U742" t="n">
        <v>4</v>
      </c>
      <c r="V742" t="n">
        <v>4</v>
      </c>
      <c r="W742" t="inlineStr">
        <is>
          <t>1996-05-05</t>
        </is>
      </c>
      <c r="X742" t="inlineStr">
        <is>
          <t>1996-05-05</t>
        </is>
      </c>
      <c r="Y742" t="inlineStr">
        <is>
          <t>1992-08-04</t>
        </is>
      </c>
      <c r="Z742" t="inlineStr">
        <is>
          <t>1992-08-04</t>
        </is>
      </c>
      <c r="AA742" t="n">
        <v>354</v>
      </c>
      <c r="AB742" t="n">
        <v>327</v>
      </c>
      <c r="AC742" t="n">
        <v>406</v>
      </c>
      <c r="AD742" t="n">
        <v>3</v>
      </c>
      <c r="AE742" t="n">
        <v>4</v>
      </c>
      <c r="AF742" t="n">
        <v>20</v>
      </c>
      <c r="AG742" t="n">
        <v>22</v>
      </c>
      <c r="AH742" t="n">
        <v>11</v>
      </c>
      <c r="AI742" t="n">
        <v>11</v>
      </c>
      <c r="AJ742" t="n">
        <v>6</v>
      </c>
      <c r="AK742" t="n">
        <v>6</v>
      </c>
      <c r="AL742" t="n">
        <v>11</v>
      </c>
      <c r="AM742" t="n">
        <v>12</v>
      </c>
      <c r="AN742" t="n">
        <v>2</v>
      </c>
      <c r="AO742" t="n">
        <v>3</v>
      </c>
      <c r="AP742" t="n">
        <v>0</v>
      </c>
      <c r="AQ742" t="n">
        <v>0</v>
      </c>
      <c r="AR742" t="inlineStr">
        <is>
          <t>No</t>
        </is>
      </c>
      <c r="AS742" t="inlineStr">
        <is>
          <t>Yes</t>
        </is>
      </c>
      <c r="AT742">
        <f>HYPERLINK("http://catalog.hathitrust.org/Record/000815116","HathiTrust Record")</f>
        <v/>
      </c>
      <c r="AU742">
        <f>HYPERLINK("https://creighton-primo.hosted.exlibrisgroup.com/primo-explore/search?tab=default_tab&amp;search_scope=EVERYTHING&amp;vid=01CRU&amp;lang=en_US&amp;offset=0&amp;query=any,contains,991000818279702656","Catalog Record")</f>
        <v/>
      </c>
      <c r="AV742">
        <f>HYPERLINK("http://www.worldcat.org/oclc/13361099","WorldCat Record")</f>
        <v/>
      </c>
      <c r="AW742" t="inlineStr">
        <is>
          <t>6948246:eng</t>
        </is>
      </c>
      <c r="AX742" t="inlineStr">
        <is>
          <t>13361099</t>
        </is>
      </c>
      <c r="AY742" t="inlineStr">
        <is>
          <t>991000818279702656</t>
        </is>
      </c>
      <c r="AZ742" t="inlineStr">
        <is>
          <t>991000818279702656</t>
        </is>
      </c>
      <c r="BA742" t="inlineStr">
        <is>
          <t>2271922510002656</t>
        </is>
      </c>
      <c r="BB742" t="inlineStr">
        <is>
          <t>BOOK</t>
        </is>
      </c>
      <c r="BD742" t="inlineStr">
        <is>
          <t>9780389206279</t>
        </is>
      </c>
      <c r="BE742" t="inlineStr">
        <is>
          <t>32285001251429</t>
        </is>
      </c>
      <c r="BF742" t="inlineStr">
        <is>
          <t>893496586</t>
        </is>
      </c>
    </row>
    <row r="743">
      <c r="A743" t="inlineStr">
        <is>
          <t>No</t>
        </is>
      </c>
      <c r="B743" t="inlineStr">
        <is>
          <t>CURAL</t>
        </is>
      </c>
      <c r="C743" t="inlineStr">
        <is>
          <t>SHELVES</t>
        </is>
      </c>
      <c r="D743" t="inlineStr">
        <is>
          <t>PQ7039.2.N8 N5 1977</t>
        </is>
      </c>
      <c r="E743" t="inlineStr">
        <is>
          <t>0                      PQ 7039200N  8                  N  5           1977</t>
        </is>
      </c>
      <c r="F743" t="inlineStr">
        <is>
          <t>Ninfas, fábulas y manzanas / Jorge Nunes.</t>
        </is>
      </c>
      <c r="H743" t="inlineStr">
        <is>
          <t>No</t>
        </is>
      </c>
      <c r="I743" t="inlineStr">
        <is>
          <t>1</t>
        </is>
      </c>
      <c r="J743" t="inlineStr">
        <is>
          <t>No</t>
        </is>
      </c>
      <c r="K743" t="inlineStr">
        <is>
          <t>No</t>
        </is>
      </c>
      <c r="L743" t="inlineStr">
        <is>
          <t>0</t>
        </is>
      </c>
      <c r="M743" t="inlineStr">
        <is>
          <t>Nunes, Jorge, 1941-</t>
        </is>
      </c>
      <c r="N743" t="inlineStr">
        <is>
          <t>Caracas : Editorial La Enseñanza Viva, c1977.</t>
        </is>
      </c>
      <c r="O743" t="inlineStr">
        <is>
          <t>1977</t>
        </is>
      </c>
      <c r="Q743" t="inlineStr">
        <is>
          <t>spa</t>
        </is>
      </c>
      <c r="R743" t="inlineStr">
        <is>
          <t xml:space="preserve">ve </t>
        </is>
      </c>
      <c r="S743" t="inlineStr">
        <is>
          <t>Colección de bolsillo</t>
        </is>
      </c>
      <c r="T743" t="inlineStr">
        <is>
          <t xml:space="preserve">PQ </t>
        </is>
      </c>
      <c r="U743" t="n">
        <v>1</v>
      </c>
      <c r="V743" t="n">
        <v>1</v>
      </c>
      <c r="W743" t="inlineStr">
        <is>
          <t>2002-02-05</t>
        </is>
      </c>
      <c r="X743" t="inlineStr">
        <is>
          <t>2002-02-05</t>
        </is>
      </c>
      <c r="Y743" t="inlineStr">
        <is>
          <t>2002-02-05</t>
        </is>
      </c>
      <c r="Z743" t="inlineStr">
        <is>
          <t>2002-02-05</t>
        </is>
      </c>
      <c r="AA743" t="n">
        <v>10</v>
      </c>
      <c r="AB743" t="n">
        <v>9</v>
      </c>
      <c r="AC743" t="n">
        <v>10</v>
      </c>
      <c r="AD743" t="n">
        <v>1</v>
      </c>
      <c r="AE743" t="n">
        <v>1</v>
      </c>
      <c r="AF743" t="n">
        <v>0</v>
      </c>
      <c r="AG743" t="n">
        <v>0</v>
      </c>
      <c r="AH743" t="n">
        <v>0</v>
      </c>
      <c r="AI743" t="n">
        <v>0</v>
      </c>
      <c r="AJ743" t="n">
        <v>0</v>
      </c>
      <c r="AK743" t="n">
        <v>0</v>
      </c>
      <c r="AL743" t="n">
        <v>0</v>
      </c>
      <c r="AM743" t="n">
        <v>0</v>
      </c>
      <c r="AN743" t="n">
        <v>0</v>
      </c>
      <c r="AO743" t="n">
        <v>0</v>
      </c>
      <c r="AP743" t="n">
        <v>0</v>
      </c>
      <c r="AQ743" t="n">
        <v>0</v>
      </c>
      <c r="AR743" t="inlineStr">
        <is>
          <t>No</t>
        </is>
      </c>
      <c r="AS743" t="inlineStr">
        <is>
          <t>Yes</t>
        </is>
      </c>
      <c r="AT743">
        <f>HYPERLINK("http://catalog.hathitrust.org/Record/101165625","HathiTrust Record")</f>
        <v/>
      </c>
      <c r="AU743">
        <f>HYPERLINK("https://creighton-primo.hosted.exlibrisgroup.com/primo-explore/search?tab=default_tab&amp;search_scope=EVERYTHING&amp;vid=01CRU&amp;lang=en_US&amp;offset=0&amp;query=any,contains,991003730329702656","Catalog Record")</f>
        <v/>
      </c>
      <c r="AV743">
        <f>HYPERLINK("http://www.worldcat.org/oclc/5618413","WorldCat Record")</f>
        <v/>
      </c>
      <c r="AW743" t="inlineStr">
        <is>
          <t>2998806210:spa</t>
        </is>
      </c>
      <c r="AX743" t="inlineStr">
        <is>
          <t>5618413</t>
        </is>
      </c>
      <c r="AY743" t="inlineStr">
        <is>
          <t>991003730329702656</t>
        </is>
      </c>
      <c r="AZ743" t="inlineStr">
        <is>
          <t>991003730329702656</t>
        </is>
      </c>
      <c r="BA743" t="inlineStr">
        <is>
          <t>2260011140002656</t>
        </is>
      </c>
      <c r="BB743" t="inlineStr">
        <is>
          <t>BOOK</t>
        </is>
      </c>
      <c r="BE743" t="inlineStr">
        <is>
          <t>32285004452347</t>
        </is>
      </c>
      <c r="BF743" t="inlineStr">
        <is>
          <t>893499628</t>
        </is>
      </c>
    </row>
    <row r="744">
      <c r="A744" t="inlineStr">
        <is>
          <t>No</t>
        </is>
      </c>
      <c r="B744" t="inlineStr">
        <is>
          <t>CURAL</t>
        </is>
      </c>
      <c r="C744" t="inlineStr">
        <is>
          <t>SHELVES</t>
        </is>
      </c>
      <c r="D744" t="inlineStr">
        <is>
          <t>PQ7070 .G78 2002</t>
        </is>
      </c>
      <c r="E744" t="inlineStr">
        <is>
          <t>0                      PQ 7070000G  78          2002</t>
        </is>
      </c>
      <c r="F744" t="inlineStr">
        <is>
          <t>Ambassadors of culture : the transamerican origins of Latino writing / Kirsten Silva Gruesz.</t>
        </is>
      </c>
      <c r="H744" t="inlineStr">
        <is>
          <t>No</t>
        </is>
      </c>
      <c r="I744" t="inlineStr">
        <is>
          <t>1</t>
        </is>
      </c>
      <c r="J744" t="inlineStr">
        <is>
          <t>No</t>
        </is>
      </c>
      <c r="K744" t="inlineStr">
        <is>
          <t>No</t>
        </is>
      </c>
      <c r="L744" t="inlineStr">
        <is>
          <t>0</t>
        </is>
      </c>
      <c r="M744" t="inlineStr">
        <is>
          <t>Gruesz, Kirsten Silva, 1964-</t>
        </is>
      </c>
      <c r="N744" t="inlineStr">
        <is>
          <t>Princeton, N.J. : Princeton University Press, c2002.</t>
        </is>
      </c>
      <c r="O744" t="inlineStr">
        <is>
          <t>2002</t>
        </is>
      </c>
      <c r="Q744" t="inlineStr">
        <is>
          <t>eng</t>
        </is>
      </c>
      <c r="R744" t="inlineStr">
        <is>
          <t>nju</t>
        </is>
      </c>
      <c r="S744" t="inlineStr">
        <is>
          <t>Translation/transnation</t>
        </is>
      </c>
      <c r="T744" t="inlineStr">
        <is>
          <t xml:space="preserve">PQ </t>
        </is>
      </c>
      <c r="U744" t="n">
        <v>2</v>
      </c>
      <c r="V744" t="n">
        <v>2</v>
      </c>
      <c r="W744" t="inlineStr">
        <is>
          <t>2004-05-25</t>
        </is>
      </c>
      <c r="X744" t="inlineStr">
        <is>
          <t>2004-05-25</t>
        </is>
      </c>
      <c r="Y744" t="inlineStr">
        <is>
          <t>2002-03-20</t>
        </is>
      </c>
      <c r="Z744" t="inlineStr">
        <is>
          <t>2002-03-20</t>
        </is>
      </c>
      <c r="AA744" t="n">
        <v>414</v>
      </c>
      <c r="AB744" t="n">
        <v>358</v>
      </c>
      <c r="AC744" t="n">
        <v>513</v>
      </c>
      <c r="AD744" t="n">
        <v>3</v>
      </c>
      <c r="AE744" t="n">
        <v>3</v>
      </c>
      <c r="AF744" t="n">
        <v>21</v>
      </c>
      <c r="AG744" t="n">
        <v>30</v>
      </c>
      <c r="AH744" t="n">
        <v>5</v>
      </c>
      <c r="AI744" t="n">
        <v>12</v>
      </c>
      <c r="AJ744" t="n">
        <v>7</v>
      </c>
      <c r="AK744" t="n">
        <v>9</v>
      </c>
      <c r="AL744" t="n">
        <v>12</v>
      </c>
      <c r="AM744" t="n">
        <v>16</v>
      </c>
      <c r="AN744" t="n">
        <v>2</v>
      </c>
      <c r="AO744" t="n">
        <v>2</v>
      </c>
      <c r="AP744" t="n">
        <v>0</v>
      </c>
      <c r="AQ744" t="n">
        <v>0</v>
      </c>
      <c r="AR744" t="inlineStr">
        <is>
          <t>No</t>
        </is>
      </c>
      <c r="AS744" t="inlineStr">
        <is>
          <t>No</t>
        </is>
      </c>
      <c r="AU744">
        <f>HYPERLINK("https://creighton-primo.hosted.exlibrisgroup.com/primo-explore/search?tab=default_tab&amp;search_scope=EVERYTHING&amp;vid=01CRU&amp;lang=en_US&amp;offset=0&amp;query=any,contains,991003743259702656","Catalog Record")</f>
        <v/>
      </c>
      <c r="AV744">
        <f>HYPERLINK("http://www.worldcat.org/oclc/46473812","WorldCat Record")</f>
        <v/>
      </c>
      <c r="AW744" t="inlineStr">
        <is>
          <t>885414:eng</t>
        </is>
      </c>
      <c r="AX744" t="inlineStr">
        <is>
          <t>46473812</t>
        </is>
      </c>
      <c r="AY744" t="inlineStr">
        <is>
          <t>991003743259702656</t>
        </is>
      </c>
      <c r="AZ744" t="inlineStr">
        <is>
          <t>991003743259702656</t>
        </is>
      </c>
      <c r="BA744" t="inlineStr">
        <is>
          <t>2265861640002656</t>
        </is>
      </c>
      <c r="BB744" t="inlineStr">
        <is>
          <t>BOOK</t>
        </is>
      </c>
      <c r="BD744" t="inlineStr">
        <is>
          <t>9780691050966</t>
        </is>
      </c>
      <c r="BE744" t="inlineStr">
        <is>
          <t>32285004463153</t>
        </is>
      </c>
      <c r="BF744" t="inlineStr">
        <is>
          <t>893441656</t>
        </is>
      </c>
    </row>
    <row r="745">
      <c r="A745" t="inlineStr">
        <is>
          <t>No</t>
        </is>
      </c>
      <c r="B745" t="inlineStr">
        <is>
          <t>CURAL</t>
        </is>
      </c>
      <c r="C745" t="inlineStr">
        <is>
          <t>SHELVES</t>
        </is>
      </c>
      <c r="D745" t="inlineStr">
        <is>
          <t>PQ7078 .C84 1998</t>
        </is>
      </c>
      <c r="E745" t="inlineStr">
        <is>
          <t>0                      PQ 7078000C  84          1998</t>
        </is>
      </c>
      <c r="F745" t="inlineStr">
        <is>
          <t>Cuentos hispanos de los Estados Unidos / edición de Julián Olivares.</t>
        </is>
      </c>
      <c r="H745" t="inlineStr">
        <is>
          <t>No</t>
        </is>
      </c>
      <c r="I745" t="inlineStr">
        <is>
          <t>1</t>
        </is>
      </c>
      <c r="J745" t="inlineStr">
        <is>
          <t>No</t>
        </is>
      </c>
      <c r="K745" t="inlineStr">
        <is>
          <t>No</t>
        </is>
      </c>
      <c r="L745" t="inlineStr">
        <is>
          <t>0</t>
        </is>
      </c>
      <c r="N745" t="inlineStr">
        <is>
          <t>Houston, Tex. : Arte Público Press, 1998, c1993.</t>
        </is>
      </c>
      <c r="O745" t="inlineStr">
        <is>
          <t>1998</t>
        </is>
      </c>
      <c r="P745" t="inlineStr">
        <is>
          <t>2. ed.</t>
        </is>
      </c>
      <c r="Q745" t="inlineStr">
        <is>
          <t>spa</t>
        </is>
      </c>
      <c r="R745" t="inlineStr">
        <is>
          <t>txu</t>
        </is>
      </c>
      <c r="T745" t="inlineStr">
        <is>
          <t xml:space="preserve">PQ </t>
        </is>
      </c>
      <c r="U745" t="n">
        <v>1</v>
      </c>
      <c r="V745" t="n">
        <v>1</v>
      </c>
      <c r="W745" t="inlineStr">
        <is>
          <t>2001-02-21</t>
        </is>
      </c>
      <c r="X745" t="inlineStr">
        <is>
          <t>2001-02-21</t>
        </is>
      </c>
      <c r="Y745" t="inlineStr">
        <is>
          <t>2001-02-21</t>
        </is>
      </c>
      <c r="Z745" t="inlineStr">
        <is>
          <t>2001-02-21</t>
        </is>
      </c>
      <c r="AA745" t="n">
        <v>243</v>
      </c>
      <c r="AB745" t="n">
        <v>240</v>
      </c>
      <c r="AC745" t="n">
        <v>623</v>
      </c>
      <c r="AD745" t="n">
        <v>2</v>
      </c>
      <c r="AE745" t="n">
        <v>6</v>
      </c>
      <c r="AF745" t="n">
        <v>4</v>
      </c>
      <c r="AG745" t="n">
        <v>24</v>
      </c>
      <c r="AH745" t="n">
        <v>2</v>
      </c>
      <c r="AI745" t="n">
        <v>12</v>
      </c>
      <c r="AJ745" t="n">
        <v>1</v>
      </c>
      <c r="AK745" t="n">
        <v>7</v>
      </c>
      <c r="AL745" t="n">
        <v>0</v>
      </c>
      <c r="AM745" t="n">
        <v>8</v>
      </c>
      <c r="AN745" t="n">
        <v>1</v>
      </c>
      <c r="AO745" t="n">
        <v>3</v>
      </c>
      <c r="AP745" t="n">
        <v>0</v>
      </c>
      <c r="AQ745" t="n">
        <v>0</v>
      </c>
      <c r="AR745" t="inlineStr">
        <is>
          <t>No</t>
        </is>
      </c>
      <c r="AS745" t="inlineStr">
        <is>
          <t>Yes</t>
        </is>
      </c>
      <c r="AT745">
        <f>HYPERLINK("http://catalog.hathitrust.org/Record/101095349","HathiTrust Record")</f>
        <v/>
      </c>
      <c r="AU745">
        <f>HYPERLINK("https://creighton-primo.hosted.exlibrisgroup.com/primo-explore/search?tab=default_tab&amp;search_scope=EVERYTHING&amp;vid=01CRU&amp;lang=en_US&amp;offset=0&amp;query=any,contains,991003453809702656","Catalog Record")</f>
        <v/>
      </c>
      <c r="AV745">
        <f>HYPERLINK("http://www.worldcat.org/oclc/39751910","WorldCat Record")</f>
        <v/>
      </c>
      <c r="AW745" t="inlineStr">
        <is>
          <t>55601770:spa</t>
        </is>
      </c>
      <c r="AX745" t="inlineStr">
        <is>
          <t>39751910</t>
        </is>
      </c>
      <c r="AY745" t="inlineStr">
        <is>
          <t>991003453809702656</t>
        </is>
      </c>
      <c r="AZ745" t="inlineStr">
        <is>
          <t>991003453809702656</t>
        </is>
      </c>
      <c r="BA745" t="inlineStr">
        <is>
          <t>2265956640002656</t>
        </is>
      </c>
      <c r="BB745" t="inlineStr">
        <is>
          <t>BOOK</t>
        </is>
      </c>
      <c r="BD745" t="inlineStr">
        <is>
          <t>9781558852600</t>
        </is>
      </c>
      <c r="BE745" t="inlineStr">
        <is>
          <t>32285004296231</t>
        </is>
      </c>
      <c r="BF745" t="inlineStr">
        <is>
          <t>893793615</t>
        </is>
      </c>
    </row>
    <row r="746">
      <c r="A746" t="inlineStr">
        <is>
          <t>No</t>
        </is>
      </c>
      <c r="B746" t="inlineStr">
        <is>
          <t>CURAL</t>
        </is>
      </c>
      <c r="C746" t="inlineStr">
        <is>
          <t>SHELVES</t>
        </is>
      </c>
      <c r="D746" t="inlineStr">
        <is>
          <t>PQ7079.2.H5 A8 1991</t>
        </is>
      </c>
      <c r="E746" t="inlineStr">
        <is>
          <t>0                      PQ 7079200H  5                  A  8           1991</t>
        </is>
      </c>
      <c r="F746" t="inlineStr">
        <is>
          <t>Los amigos de Becky / Rolando Hinojosa.</t>
        </is>
      </c>
      <c r="H746" t="inlineStr">
        <is>
          <t>No</t>
        </is>
      </c>
      <c r="I746" t="inlineStr">
        <is>
          <t>1</t>
        </is>
      </c>
      <c r="J746" t="inlineStr">
        <is>
          <t>No</t>
        </is>
      </c>
      <c r="K746" t="inlineStr">
        <is>
          <t>No</t>
        </is>
      </c>
      <c r="L746" t="inlineStr">
        <is>
          <t>0</t>
        </is>
      </c>
      <c r="M746" t="inlineStr">
        <is>
          <t>Hinojosa, Rolando.</t>
        </is>
      </c>
      <c r="N746" t="inlineStr">
        <is>
          <t>Houston, Tex. : Arte Publico Press, 1991.</t>
        </is>
      </c>
      <c r="O746" t="inlineStr">
        <is>
          <t>1991</t>
        </is>
      </c>
      <c r="Q746" t="inlineStr">
        <is>
          <t>spa</t>
        </is>
      </c>
      <c r="R746" t="inlineStr">
        <is>
          <t>txu</t>
        </is>
      </c>
      <c r="T746" t="inlineStr">
        <is>
          <t xml:space="preserve">PQ </t>
        </is>
      </c>
      <c r="U746" t="n">
        <v>1</v>
      </c>
      <c r="V746" t="n">
        <v>1</v>
      </c>
      <c r="W746" t="inlineStr">
        <is>
          <t>2003-09-24</t>
        </is>
      </c>
      <c r="X746" t="inlineStr">
        <is>
          <t>2003-09-24</t>
        </is>
      </c>
      <c r="Y746" t="inlineStr">
        <is>
          <t>2003-09-24</t>
        </is>
      </c>
      <c r="Z746" t="inlineStr">
        <is>
          <t>2003-09-24</t>
        </is>
      </c>
      <c r="AA746" t="n">
        <v>213</v>
      </c>
      <c r="AB746" t="n">
        <v>207</v>
      </c>
      <c r="AC746" t="n">
        <v>304</v>
      </c>
      <c r="AD746" t="n">
        <v>1</v>
      </c>
      <c r="AE746" t="n">
        <v>1</v>
      </c>
      <c r="AF746" t="n">
        <v>3</v>
      </c>
      <c r="AG746" t="n">
        <v>10</v>
      </c>
      <c r="AH746" t="n">
        <v>2</v>
      </c>
      <c r="AI746" t="n">
        <v>8</v>
      </c>
      <c r="AJ746" t="n">
        <v>1</v>
      </c>
      <c r="AK746" t="n">
        <v>3</v>
      </c>
      <c r="AL746" t="n">
        <v>1</v>
      </c>
      <c r="AM746" t="n">
        <v>2</v>
      </c>
      <c r="AN746" t="n">
        <v>0</v>
      </c>
      <c r="AO746" t="n">
        <v>0</v>
      </c>
      <c r="AP746" t="n">
        <v>0</v>
      </c>
      <c r="AQ746" t="n">
        <v>0</v>
      </c>
      <c r="AR746" t="inlineStr">
        <is>
          <t>No</t>
        </is>
      </c>
      <c r="AS746" t="inlineStr">
        <is>
          <t>Yes</t>
        </is>
      </c>
      <c r="AT746">
        <f>HYPERLINK("http://catalog.hathitrust.org/Record/002471278","HathiTrust Record")</f>
        <v/>
      </c>
      <c r="AU746">
        <f>HYPERLINK("https://creighton-primo.hosted.exlibrisgroup.com/primo-explore/search?tab=default_tab&amp;search_scope=EVERYTHING&amp;vid=01CRU&amp;lang=en_US&amp;offset=0&amp;query=any,contains,991004025869702656","Catalog Record")</f>
        <v/>
      </c>
      <c r="AV746">
        <f>HYPERLINK("http://www.worldcat.org/oclc/21760349","WorldCat Record")</f>
        <v/>
      </c>
      <c r="AW746" t="inlineStr">
        <is>
          <t>350675843:spa</t>
        </is>
      </c>
      <c r="AX746" t="inlineStr">
        <is>
          <t>21760349</t>
        </is>
      </c>
      <c r="AY746" t="inlineStr">
        <is>
          <t>991004025869702656</t>
        </is>
      </c>
      <c r="AZ746" t="inlineStr">
        <is>
          <t>991004025869702656</t>
        </is>
      </c>
      <c r="BA746" t="inlineStr">
        <is>
          <t>2254701020002656</t>
        </is>
      </c>
      <c r="BB746" t="inlineStr">
        <is>
          <t>BOOK</t>
        </is>
      </c>
      <c r="BD746" t="inlineStr">
        <is>
          <t>9781558850217</t>
        </is>
      </c>
      <c r="BE746" t="inlineStr">
        <is>
          <t>32285004785209</t>
        </is>
      </c>
      <c r="BF746" t="inlineStr">
        <is>
          <t>893240918</t>
        </is>
      </c>
    </row>
    <row r="747">
      <c r="A747" t="inlineStr">
        <is>
          <t>No</t>
        </is>
      </c>
      <c r="B747" t="inlineStr">
        <is>
          <t>CURAL</t>
        </is>
      </c>
      <c r="C747" t="inlineStr">
        <is>
          <t>SHELVES</t>
        </is>
      </c>
      <c r="D747" t="inlineStr">
        <is>
          <t>PQ7079.2.R5 Y2 1995</t>
        </is>
      </c>
      <c r="E747" t="inlineStr">
        <is>
          <t>0                      PQ 7079200R  5                  Y  2           1995</t>
        </is>
      </c>
      <c r="F747" t="inlineStr">
        <is>
          <t>--y no se lo tragó la tierra / Tomás Rivera.</t>
        </is>
      </c>
      <c r="H747" t="inlineStr">
        <is>
          <t>No</t>
        </is>
      </c>
      <c r="I747" t="inlineStr">
        <is>
          <t>1</t>
        </is>
      </c>
      <c r="J747" t="inlineStr">
        <is>
          <t>No</t>
        </is>
      </c>
      <c r="K747" t="inlineStr">
        <is>
          <t>No</t>
        </is>
      </c>
      <c r="L747" t="inlineStr">
        <is>
          <t>0</t>
        </is>
      </c>
      <c r="M747" t="inlineStr">
        <is>
          <t>Rivera, Tomás, 1935-1984.</t>
        </is>
      </c>
      <c r="N747" t="inlineStr">
        <is>
          <t>Houston : Arte Público Press, 1995, c1987.</t>
        </is>
      </c>
      <c r="O747" t="inlineStr">
        <is>
          <t>1995</t>
        </is>
      </c>
      <c r="P747" t="inlineStr">
        <is>
          <t>3rd Arte Público Press ed.</t>
        </is>
      </c>
      <c r="Q747" t="inlineStr">
        <is>
          <t>spa</t>
        </is>
      </c>
      <c r="R747" t="inlineStr">
        <is>
          <t>txu</t>
        </is>
      </c>
      <c r="T747" t="inlineStr">
        <is>
          <t xml:space="preserve">PQ </t>
        </is>
      </c>
      <c r="U747" t="n">
        <v>1</v>
      </c>
      <c r="V747" t="n">
        <v>1</v>
      </c>
      <c r="W747" t="inlineStr">
        <is>
          <t>2003-05-13</t>
        </is>
      </c>
      <c r="X747" t="inlineStr">
        <is>
          <t>2003-05-13</t>
        </is>
      </c>
      <c r="Y747" t="inlineStr">
        <is>
          <t>2003-05-13</t>
        </is>
      </c>
      <c r="Z747" t="inlineStr">
        <is>
          <t>2003-05-13</t>
        </is>
      </c>
      <c r="AA747" t="n">
        <v>560</v>
      </c>
      <c r="AB747" t="n">
        <v>546</v>
      </c>
      <c r="AC747" t="n">
        <v>1226</v>
      </c>
      <c r="AD747" t="n">
        <v>6</v>
      </c>
      <c r="AE747" t="n">
        <v>12</v>
      </c>
      <c r="AF747" t="n">
        <v>15</v>
      </c>
      <c r="AG747" t="n">
        <v>39</v>
      </c>
      <c r="AH747" t="n">
        <v>5</v>
      </c>
      <c r="AI747" t="n">
        <v>14</v>
      </c>
      <c r="AJ747" t="n">
        <v>2</v>
      </c>
      <c r="AK747" t="n">
        <v>7</v>
      </c>
      <c r="AL747" t="n">
        <v>8</v>
      </c>
      <c r="AM747" t="n">
        <v>19</v>
      </c>
      <c r="AN747" t="n">
        <v>3</v>
      </c>
      <c r="AO747" t="n">
        <v>6</v>
      </c>
      <c r="AP747" t="n">
        <v>1</v>
      </c>
      <c r="AQ747" t="n">
        <v>1</v>
      </c>
      <c r="AR747" t="inlineStr">
        <is>
          <t>No</t>
        </is>
      </c>
      <c r="AS747" t="inlineStr">
        <is>
          <t>No</t>
        </is>
      </c>
      <c r="AU747">
        <f>HYPERLINK("https://creighton-primo.hosted.exlibrisgroup.com/primo-explore/search?tab=default_tab&amp;search_scope=EVERYTHING&amp;vid=01CRU&amp;lang=en_US&amp;offset=0&amp;query=any,contains,991004025929702656","Catalog Record")</f>
        <v/>
      </c>
      <c r="AV747">
        <f>HYPERLINK("http://www.worldcat.org/oclc/33452555","WorldCat Record")</f>
        <v/>
      </c>
      <c r="AW747" t="inlineStr">
        <is>
          <t>354695577:spa</t>
        </is>
      </c>
      <c r="AX747" t="inlineStr">
        <is>
          <t>33452555</t>
        </is>
      </c>
      <c r="AY747" t="inlineStr">
        <is>
          <t>991004025929702656</t>
        </is>
      </c>
      <c r="AZ747" t="inlineStr">
        <is>
          <t>991004025929702656</t>
        </is>
      </c>
      <c r="BA747" t="inlineStr">
        <is>
          <t>2267990580002656</t>
        </is>
      </c>
      <c r="BB747" t="inlineStr">
        <is>
          <t>BOOK</t>
        </is>
      </c>
      <c r="BD747" t="inlineStr">
        <is>
          <t>9780613179591</t>
        </is>
      </c>
      <c r="BE747" t="inlineStr">
        <is>
          <t>32285004745906</t>
        </is>
      </c>
      <c r="BF747" t="inlineStr">
        <is>
          <t>893240919</t>
        </is>
      </c>
    </row>
    <row r="748">
      <c r="A748" t="inlineStr">
        <is>
          <t>No</t>
        </is>
      </c>
      <c r="B748" t="inlineStr">
        <is>
          <t>CURAL</t>
        </is>
      </c>
      <c r="C748" t="inlineStr">
        <is>
          <t>SHELVES</t>
        </is>
      </c>
      <c r="D748" t="inlineStr">
        <is>
          <t>PQ7079.3.G37 G45 2003</t>
        </is>
      </c>
      <c r="E748" t="inlineStr">
        <is>
          <t>0                      PQ 7079300G  37                 G  45          2003</t>
        </is>
      </c>
      <c r="F748" t="inlineStr">
        <is>
          <t>Génesis si acaso / Angel Garrido.</t>
        </is>
      </c>
      <c r="H748" t="inlineStr">
        <is>
          <t>No</t>
        </is>
      </c>
      <c r="I748" t="inlineStr">
        <is>
          <t>1</t>
        </is>
      </c>
      <c r="J748" t="inlineStr">
        <is>
          <t>No</t>
        </is>
      </c>
      <c r="K748" t="inlineStr">
        <is>
          <t>No</t>
        </is>
      </c>
      <c r="L748" t="inlineStr">
        <is>
          <t>0</t>
        </is>
      </c>
      <c r="M748" t="inlineStr">
        <is>
          <t>Garrido, Angel, 1949-</t>
        </is>
      </c>
      <c r="N748" t="inlineStr">
        <is>
          <t>San Juan, P.R. : Isla Negra Editores, 2003.</t>
        </is>
      </c>
      <c r="O748" t="inlineStr">
        <is>
          <t>2003</t>
        </is>
      </c>
      <c r="Q748" t="inlineStr">
        <is>
          <t>spa</t>
        </is>
      </c>
      <c r="R748" t="inlineStr">
        <is>
          <t xml:space="preserve">pr </t>
        </is>
      </c>
      <c r="S748" t="inlineStr">
        <is>
          <t>Colección La montaña de papel</t>
        </is>
      </c>
      <c r="T748" t="inlineStr">
        <is>
          <t xml:space="preserve">PQ </t>
        </is>
      </c>
      <c r="U748" t="n">
        <v>1</v>
      </c>
      <c r="V748" t="n">
        <v>1</v>
      </c>
      <c r="W748" t="inlineStr">
        <is>
          <t>2005-09-27</t>
        </is>
      </c>
      <c r="X748" t="inlineStr">
        <is>
          <t>2005-09-27</t>
        </is>
      </c>
      <c r="Y748" t="inlineStr">
        <is>
          <t>2005-09-27</t>
        </is>
      </c>
      <c r="Z748" t="inlineStr">
        <is>
          <t>2005-09-27</t>
        </is>
      </c>
      <c r="AA748" t="n">
        <v>41</v>
      </c>
      <c r="AB748" t="n">
        <v>41</v>
      </c>
      <c r="AC748" t="n">
        <v>101</v>
      </c>
      <c r="AD748" t="n">
        <v>1</v>
      </c>
      <c r="AE748" t="n">
        <v>2</v>
      </c>
      <c r="AF748" t="n">
        <v>2</v>
      </c>
      <c r="AG748" t="n">
        <v>5</v>
      </c>
      <c r="AH748" t="n">
        <v>1</v>
      </c>
      <c r="AI748" t="n">
        <v>2</v>
      </c>
      <c r="AJ748" t="n">
        <v>1</v>
      </c>
      <c r="AK748" t="n">
        <v>1</v>
      </c>
      <c r="AL748" t="n">
        <v>1</v>
      </c>
      <c r="AM748" t="n">
        <v>2</v>
      </c>
      <c r="AN748" t="n">
        <v>0</v>
      </c>
      <c r="AO748" t="n">
        <v>1</v>
      </c>
      <c r="AP748" t="n">
        <v>0</v>
      </c>
      <c r="AQ748" t="n">
        <v>0</v>
      </c>
      <c r="AR748" t="inlineStr">
        <is>
          <t>No</t>
        </is>
      </c>
      <c r="AS748" t="inlineStr">
        <is>
          <t>No</t>
        </is>
      </c>
      <c r="AU748">
        <f>HYPERLINK("https://creighton-primo.hosted.exlibrisgroup.com/primo-explore/search?tab=default_tab&amp;search_scope=EVERYTHING&amp;vid=01CRU&amp;lang=en_US&amp;offset=0&amp;query=any,contains,991004209039702656","Catalog Record")</f>
        <v/>
      </c>
      <c r="AV748">
        <f>HYPERLINK("http://www.worldcat.org/oclc/53887822","WorldCat Record")</f>
        <v/>
      </c>
      <c r="AW748" t="inlineStr">
        <is>
          <t>13021064:spa</t>
        </is>
      </c>
      <c r="AX748" t="inlineStr">
        <is>
          <t>53887822</t>
        </is>
      </c>
      <c r="AY748" t="inlineStr">
        <is>
          <t>991004209039702656</t>
        </is>
      </c>
      <c r="AZ748" t="inlineStr">
        <is>
          <t>991004209039702656</t>
        </is>
      </c>
      <c r="BA748" t="inlineStr">
        <is>
          <t>2270483360002656</t>
        </is>
      </c>
      <c r="BB748" t="inlineStr">
        <is>
          <t>BOOK</t>
        </is>
      </c>
      <c r="BD748" t="inlineStr">
        <is>
          <t>9781881715443</t>
        </is>
      </c>
      <c r="BE748" t="inlineStr">
        <is>
          <t>32285004633771</t>
        </is>
      </c>
      <c r="BF748" t="inlineStr">
        <is>
          <t>893429786</t>
        </is>
      </c>
    </row>
    <row r="749">
      <c r="A749" t="inlineStr">
        <is>
          <t>No</t>
        </is>
      </c>
      <c r="B749" t="inlineStr">
        <is>
          <t>CURAL</t>
        </is>
      </c>
      <c r="C749" t="inlineStr">
        <is>
          <t>SHELVES</t>
        </is>
      </c>
      <c r="D749" t="inlineStr">
        <is>
          <t>PQ7081 .A5</t>
        </is>
      </c>
      <c r="E749" t="inlineStr">
        <is>
          <t>0                      PQ 7081000A  5</t>
        </is>
      </c>
      <c r="F749" t="inlineStr">
        <is>
          <t>Spanish American literature : a history / translated from the Spanish by John V. Falconieri.</t>
        </is>
      </c>
      <c r="H749" t="inlineStr">
        <is>
          <t>No</t>
        </is>
      </c>
      <c r="I749" t="inlineStr">
        <is>
          <t>1</t>
        </is>
      </c>
      <c r="J749" t="inlineStr">
        <is>
          <t>No</t>
        </is>
      </c>
      <c r="K749" t="inlineStr">
        <is>
          <t>No</t>
        </is>
      </c>
      <c r="L749" t="inlineStr">
        <is>
          <t>0</t>
        </is>
      </c>
      <c r="M749" t="inlineStr">
        <is>
          <t>Anderson Imbert, Enrique, 1910-2000.</t>
        </is>
      </c>
      <c r="N749" t="inlineStr">
        <is>
          <t>Detroit : Wayne State University Press, 1963.</t>
        </is>
      </c>
      <c r="O749" t="inlineStr">
        <is>
          <t>1963</t>
        </is>
      </c>
      <c r="Q749" t="inlineStr">
        <is>
          <t>eng</t>
        </is>
      </c>
      <c r="R749" t="inlineStr">
        <is>
          <t>miu</t>
        </is>
      </c>
      <c r="T749" t="inlineStr">
        <is>
          <t xml:space="preserve">PQ </t>
        </is>
      </c>
      <c r="U749" t="n">
        <v>4</v>
      </c>
      <c r="V749" t="n">
        <v>4</v>
      </c>
      <c r="W749" t="inlineStr">
        <is>
          <t>1997-10-29</t>
        </is>
      </c>
      <c r="X749" t="inlineStr">
        <is>
          <t>1997-10-29</t>
        </is>
      </c>
      <c r="Y749" t="inlineStr">
        <is>
          <t>1991-08-12</t>
        </is>
      </c>
      <c r="Z749" t="inlineStr">
        <is>
          <t>1991-08-12</t>
        </is>
      </c>
      <c r="AA749" t="n">
        <v>1079</v>
      </c>
      <c r="AB749" t="n">
        <v>993</v>
      </c>
      <c r="AC749" t="n">
        <v>1460</v>
      </c>
      <c r="AD749" t="n">
        <v>8</v>
      </c>
      <c r="AE749" t="n">
        <v>12</v>
      </c>
      <c r="AF749" t="n">
        <v>39</v>
      </c>
      <c r="AG749" t="n">
        <v>53</v>
      </c>
      <c r="AH749" t="n">
        <v>16</v>
      </c>
      <c r="AI749" t="n">
        <v>22</v>
      </c>
      <c r="AJ749" t="n">
        <v>7</v>
      </c>
      <c r="AK749" t="n">
        <v>10</v>
      </c>
      <c r="AL749" t="n">
        <v>18</v>
      </c>
      <c r="AM749" t="n">
        <v>25</v>
      </c>
      <c r="AN749" t="n">
        <v>7</v>
      </c>
      <c r="AO749" t="n">
        <v>10</v>
      </c>
      <c r="AP749" t="n">
        <v>0</v>
      </c>
      <c r="AQ749" t="n">
        <v>0</v>
      </c>
      <c r="AR749" t="inlineStr">
        <is>
          <t>No</t>
        </is>
      </c>
      <c r="AS749" t="inlineStr">
        <is>
          <t>Yes</t>
        </is>
      </c>
      <c r="AT749">
        <f>HYPERLINK("http://catalog.hathitrust.org/Record/001111709","HathiTrust Record")</f>
        <v/>
      </c>
      <c r="AU749">
        <f>HYPERLINK("https://creighton-primo.hosted.exlibrisgroup.com/primo-explore/search?tab=default_tab&amp;search_scope=EVERYTHING&amp;vid=01CRU&amp;lang=en_US&amp;offset=0&amp;query=any,contains,991002431399702656","Catalog Record")</f>
        <v/>
      </c>
      <c r="AV749">
        <f>HYPERLINK("http://www.worldcat.org/oclc/347235","WorldCat Record")</f>
        <v/>
      </c>
      <c r="AW749" t="inlineStr">
        <is>
          <t>10252516370:eng</t>
        </is>
      </c>
      <c r="AX749" t="inlineStr">
        <is>
          <t>347235</t>
        </is>
      </c>
      <c r="AY749" t="inlineStr">
        <is>
          <t>991002431399702656</t>
        </is>
      </c>
      <c r="AZ749" t="inlineStr">
        <is>
          <t>991002431399702656</t>
        </is>
      </c>
      <c r="BA749" t="inlineStr">
        <is>
          <t>2272335020002656</t>
        </is>
      </c>
      <c r="BB749" t="inlineStr">
        <is>
          <t>BOOK</t>
        </is>
      </c>
      <c r="BE749" t="inlineStr">
        <is>
          <t>32285000682335</t>
        </is>
      </c>
      <c r="BF749" t="inlineStr">
        <is>
          <t>893523601</t>
        </is>
      </c>
    </row>
    <row r="750">
      <c r="A750" t="inlineStr">
        <is>
          <t>No</t>
        </is>
      </c>
      <c r="B750" t="inlineStr">
        <is>
          <t>CURAL</t>
        </is>
      </c>
      <c r="C750" t="inlineStr">
        <is>
          <t>SHELVES</t>
        </is>
      </c>
      <c r="D750" t="inlineStr">
        <is>
          <t>PQ7081 .A563 1970</t>
        </is>
      </c>
      <c r="E750" t="inlineStr">
        <is>
          <t>0                      PQ 7081000A  563         1970</t>
        </is>
      </c>
      <c r="F750" t="inlineStr">
        <is>
          <t>Historia de la literatura hispanoamericana / por Enrique Anderson Imbert.</t>
        </is>
      </c>
      <c r="G750" t="inlineStr">
        <is>
          <t>V.1</t>
        </is>
      </c>
      <c r="H750" t="inlineStr">
        <is>
          <t>Yes</t>
        </is>
      </c>
      <c r="I750" t="inlineStr">
        <is>
          <t>1</t>
        </is>
      </c>
      <c r="J750" t="inlineStr">
        <is>
          <t>Yes</t>
        </is>
      </c>
      <c r="K750" t="inlineStr">
        <is>
          <t>No</t>
        </is>
      </c>
      <c r="L750" t="inlineStr">
        <is>
          <t>0</t>
        </is>
      </c>
      <c r="M750" t="inlineStr">
        <is>
          <t>Anderson Imbert, Enrique, 1910-2000.</t>
        </is>
      </c>
      <c r="N750" t="inlineStr">
        <is>
          <t>México ; Fondo de Cultura Económica, 1970, c1954.</t>
        </is>
      </c>
      <c r="O750" t="inlineStr">
        <is>
          <t>1970</t>
        </is>
      </c>
      <c r="Q750" t="inlineStr">
        <is>
          <t>spa</t>
        </is>
      </c>
      <c r="R750" t="inlineStr">
        <is>
          <t xml:space="preserve">xx </t>
        </is>
      </c>
      <c r="S750" t="inlineStr">
        <is>
          <t>Breviarios del Fondo de Cultura Económica ; 89, 156</t>
        </is>
      </c>
      <c r="T750" t="inlineStr">
        <is>
          <t xml:space="preserve">PQ </t>
        </is>
      </c>
      <c r="U750" t="n">
        <v>2</v>
      </c>
      <c r="V750" t="n">
        <v>4</v>
      </c>
      <c r="W750" t="inlineStr">
        <is>
          <t>1996-12-10</t>
        </is>
      </c>
      <c r="X750" t="inlineStr">
        <is>
          <t>1996-12-10</t>
        </is>
      </c>
      <c r="Y750" t="inlineStr">
        <is>
          <t>1996-07-01</t>
        </is>
      </c>
      <c r="Z750" t="inlineStr">
        <is>
          <t>1996-07-01</t>
        </is>
      </c>
      <c r="AA750" t="n">
        <v>164</v>
      </c>
      <c r="AB750" t="n">
        <v>140</v>
      </c>
      <c r="AC750" t="n">
        <v>494</v>
      </c>
      <c r="AD750" t="n">
        <v>1</v>
      </c>
      <c r="AE750" t="n">
        <v>4</v>
      </c>
      <c r="AF750" t="n">
        <v>8</v>
      </c>
      <c r="AG750" t="n">
        <v>26</v>
      </c>
      <c r="AH750" t="n">
        <v>3</v>
      </c>
      <c r="AI750" t="n">
        <v>12</v>
      </c>
      <c r="AJ750" t="n">
        <v>3</v>
      </c>
      <c r="AK750" t="n">
        <v>6</v>
      </c>
      <c r="AL750" t="n">
        <v>4</v>
      </c>
      <c r="AM750" t="n">
        <v>13</v>
      </c>
      <c r="AN750" t="n">
        <v>0</v>
      </c>
      <c r="AO750" t="n">
        <v>3</v>
      </c>
      <c r="AP750" t="n">
        <v>0</v>
      </c>
      <c r="AQ750" t="n">
        <v>0</v>
      </c>
      <c r="AR750" t="inlineStr">
        <is>
          <t>No</t>
        </is>
      </c>
      <c r="AS750" t="inlineStr">
        <is>
          <t>Yes</t>
        </is>
      </c>
      <c r="AT750">
        <f>HYPERLINK("http://catalog.hathitrust.org/Record/007489744","HathiTrust Record")</f>
        <v/>
      </c>
      <c r="AU750">
        <f>HYPERLINK("https://creighton-primo.hosted.exlibrisgroup.com/primo-explore/search?tab=default_tab&amp;search_scope=EVERYTHING&amp;vid=01CRU&amp;lang=en_US&amp;offset=0&amp;query=any,contains,991003827349702656","Catalog Record")</f>
        <v/>
      </c>
      <c r="AV750">
        <f>HYPERLINK("http://www.worldcat.org/oclc/5377690","WorldCat Record")</f>
        <v/>
      </c>
      <c r="AW750" t="inlineStr">
        <is>
          <t>4512340392:spa</t>
        </is>
      </c>
      <c r="AX750" t="inlineStr">
        <is>
          <t>5377690</t>
        </is>
      </c>
      <c r="AY750" t="inlineStr">
        <is>
          <t>991003827349702656</t>
        </is>
      </c>
      <c r="AZ750" t="inlineStr">
        <is>
          <t>991003827349702656</t>
        </is>
      </c>
      <c r="BA750" t="inlineStr">
        <is>
          <t>2267289670002656</t>
        </is>
      </c>
      <c r="BB750" t="inlineStr">
        <is>
          <t>BOOK</t>
        </is>
      </c>
      <c r="BE750" t="inlineStr">
        <is>
          <t>32285002205101</t>
        </is>
      </c>
      <c r="BF750" t="inlineStr">
        <is>
          <t>893435498</t>
        </is>
      </c>
    </row>
    <row r="751">
      <c r="A751" t="inlineStr">
        <is>
          <t>No</t>
        </is>
      </c>
      <c r="B751" t="inlineStr">
        <is>
          <t>CURAL</t>
        </is>
      </c>
      <c r="C751" t="inlineStr">
        <is>
          <t>SHELVES</t>
        </is>
      </c>
      <c r="D751" t="inlineStr">
        <is>
          <t>PQ7081 .A563 1970</t>
        </is>
      </c>
      <c r="E751" t="inlineStr">
        <is>
          <t>0                      PQ 7081000A  563         1970</t>
        </is>
      </c>
      <c r="F751" t="inlineStr">
        <is>
          <t>Historia de la literatura hispanoamericana / por Enrique Anderson Imbert.</t>
        </is>
      </c>
      <c r="G751" t="inlineStr">
        <is>
          <t>V.2</t>
        </is>
      </c>
      <c r="H751" t="inlineStr">
        <is>
          <t>Yes</t>
        </is>
      </c>
      <c r="I751" t="inlineStr">
        <is>
          <t>1</t>
        </is>
      </c>
      <c r="J751" t="inlineStr">
        <is>
          <t>No</t>
        </is>
      </c>
      <c r="K751" t="inlineStr">
        <is>
          <t>No</t>
        </is>
      </c>
      <c r="L751" t="inlineStr">
        <is>
          <t>0</t>
        </is>
      </c>
      <c r="M751" t="inlineStr">
        <is>
          <t>Anderson Imbert, Enrique, 1910-2000.</t>
        </is>
      </c>
      <c r="N751" t="inlineStr">
        <is>
          <t>México ; Fondo de Cultura Económica, 1970, c1954.</t>
        </is>
      </c>
      <c r="O751" t="inlineStr">
        <is>
          <t>1970</t>
        </is>
      </c>
      <c r="Q751" t="inlineStr">
        <is>
          <t>spa</t>
        </is>
      </c>
      <c r="R751" t="inlineStr">
        <is>
          <t xml:space="preserve">xx </t>
        </is>
      </c>
      <c r="S751" t="inlineStr">
        <is>
          <t>Breviarios del Fondo de Cultura Económica ; 89, 156</t>
        </is>
      </c>
      <c r="T751" t="inlineStr">
        <is>
          <t xml:space="preserve">PQ </t>
        </is>
      </c>
      <c r="U751" t="n">
        <v>2</v>
      </c>
      <c r="V751" t="n">
        <v>4</v>
      </c>
      <c r="W751" t="inlineStr">
        <is>
          <t>1996-12-10</t>
        </is>
      </c>
      <c r="X751" t="inlineStr">
        <is>
          <t>1996-12-10</t>
        </is>
      </c>
      <c r="Y751" t="inlineStr">
        <is>
          <t>1996-07-01</t>
        </is>
      </c>
      <c r="Z751" t="inlineStr">
        <is>
          <t>1996-07-01</t>
        </is>
      </c>
      <c r="AA751" t="n">
        <v>164</v>
      </c>
      <c r="AB751" t="n">
        <v>140</v>
      </c>
      <c r="AC751" t="n">
        <v>494</v>
      </c>
      <c r="AD751" t="n">
        <v>1</v>
      </c>
      <c r="AE751" t="n">
        <v>4</v>
      </c>
      <c r="AF751" t="n">
        <v>8</v>
      </c>
      <c r="AG751" t="n">
        <v>26</v>
      </c>
      <c r="AH751" t="n">
        <v>3</v>
      </c>
      <c r="AI751" t="n">
        <v>12</v>
      </c>
      <c r="AJ751" t="n">
        <v>3</v>
      </c>
      <c r="AK751" t="n">
        <v>6</v>
      </c>
      <c r="AL751" t="n">
        <v>4</v>
      </c>
      <c r="AM751" t="n">
        <v>13</v>
      </c>
      <c r="AN751" t="n">
        <v>0</v>
      </c>
      <c r="AO751" t="n">
        <v>3</v>
      </c>
      <c r="AP751" t="n">
        <v>0</v>
      </c>
      <c r="AQ751" t="n">
        <v>0</v>
      </c>
      <c r="AR751" t="inlineStr">
        <is>
          <t>No</t>
        </is>
      </c>
      <c r="AS751" t="inlineStr">
        <is>
          <t>Yes</t>
        </is>
      </c>
      <c r="AT751">
        <f>HYPERLINK("http://catalog.hathitrust.org/Record/007489744","HathiTrust Record")</f>
        <v/>
      </c>
      <c r="AU751">
        <f>HYPERLINK("https://creighton-primo.hosted.exlibrisgroup.com/primo-explore/search?tab=default_tab&amp;search_scope=EVERYTHING&amp;vid=01CRU&amp;lang=en_US&amp;offset=0&amp;query=any,contains,991003827349702656","Catalog Record")</f>
        <v/>
      </c>
      <c r="AV751">
        <f>HYPERLINK("http://www.worldcat.org/oclc/5377690","WorldCat Record")</f>
        <v/>
      </c>
      <c r="AW751" t="inlineStr">
        <is>
          <t>4512340392:spa</t>
        </is>
      </c>
      <c r="AX751" t="inlineStr">
        <is>
          <t>5377690</t>
        </is>
      </c>
      <c r="AY751" t="inlineStr">
        <is>
          <t>991003827349702656</t>
        </is>
      </c>
      <c r="AZ751" t="inlineStr">
        <is>
          <t>991003827349702656</t>
        </is>
      </c>
      <c r="BA751" t="inlineStr">
        <is>
          <t>2267289670002656</t>
        </is>
      </c>
      <c r="BB751" t="inlineStr">
        <is>
          <t>BOOK</t>
        </is>
      </c>
      <c r="BE751" t="inlineStr">
        <is>
          <t>32285002205119</t>
        </is>
      </c>
      <c r="BF751" t="inlineStr">
        <is>
          <t>893435497</t>
        </is>
      </c>
    </row>
    <row r="752">
      <c r="A752" t="inlineStr">
        <is>
          <t>No</t>
        </is>
      </c>
      <c r="B752" t="inlineStr">
        <is>
          <t>CURAL</t>
        </is>
      </c>
      <c r="C752" t="inlineStr">
        <is>
          <t>SHELVES</t>
        </is>
      </c>
      <c r="D752" t="inlineStr">
        <is>
          <t>PQ7081 .B345 1983</t>
        </is>
      </c>
      <c r="E752" t="inlineStr">
        <is>
          <t>0                      PQ 7081000B  345         1983</t>
        </is>
      </c>
      <c r="F752" t="inlineStr">
        <is>
          <t>Literatura de nuestra América : estudios de literatura cubana e hispanoamericana / Emilio Bejel.</t>
        </is>
      </c>
      <c r="H752" t="inlineStr">
        <is>
          <t>No</t>
        </is>
      </c>
      <c r="I752" t="inlineStr">
        <is>
          <t>1</t>
        </is>
      </c>
      <c r="J752" t="inlineStr">
        <is>
          <t>No</t>
        </is>
      </c>
      <c r="K752" t="inlineStr">
        <is>
          <t>No</t>
        </is>
      </c>
      <c r="L752" t="inlineStr">
        <is>
          <t>0</t>
        </is>
      </c>
      <c r="M752" t="inlineStr">
        <is>
          <t>Bejel, Emilio, 1944-</t>
        </is>
      </c>
      <c r="N752" t="inlineStr">
        <is>
          <t>Xalapa, Ver., México : Centro de Investigaciones Lingüístico-Literarias, Instituto de Investigaciones Humanísticas, Universidad Veracruzana, c1983.</t>
        </is>
      </c>
      <c r="O752" t="inlineStr">
        <is>
          <t>1983</t>
        </is>
      </c>
      <c r="Q752" t="inlineStr">
        <is>
          <t>spa</t>
        </is>
      </c>
      <c r="R752" t="inlineStr">
        <is>
          <t xml:space="preserve">mx </t>
        </is>
      </c>
      <c r="S752" t="inlineStr">
        <is>
          <t>CILL ; 18</t>
        </is>
      </c>
      <c r="T752" t="inlineStr">
        <is>
          <t xml:space="preserve">PQ </t>
        </is>
      </c>
      <c r="U752" t="n">
        <v>2</v>
      </c>
      <c r="V752" t="n">
        <v>2</v>
      </c>
      <c r="W752" t="inlineStr">
        <is>
          <t>1999-03-23</t>
        </is>
      </c>
      <c r="X752" t="inlineStr">
        <is>
          <t>1999-03-23</t>
        </is>
      </c>
      <c r="Y752" t="inlineStr">
        <is>
          <t>1995-10-11</t>
        </is>
      </c>
      <c r="Z752" t="inlineStr">
        <is>
          <t>1995-10-11</t>
        </is>
      </c>
      <c r="AA752" t="n">
        <v>111</v>
      </c>
      <c r="AB752" t="n">
        <v>96</v>
      </c>
      <c r="AC752" t="n">
        <v>98</v>
      </c>
      <c r="AD752" t="n">
        <v>1</v>
      </c>
      <c r="AE752" t="n">
        <v>1</v>
      </c>
      <c r="AF752" t="n">
        <v>2</v>
      </c>
      <c r="AG752" t="n">
        <v>2</v>
      </c>
      <c r="AH752" t="n">
        <v>0</v>
      </c>
      <c r="AI752" t="n">
        <v>0</v>
      </c>
      <c r="AJ752" t="n">
        <v>2</v>
      </c>
      <c r="AK752" t="n">
        <v>2</v>
      </c>
      <c r="AL752" t="n">
        <v>0</v>
      </c>
      <c r="AM752" t="n">
        <v>0</v>
      </c>
      <c r="AN752" t="n">
        <v>0</v>
      </c>
      <c r="AO752" t="n">
        <v>0</v>
      </c>
      <c r="AP752" t="n">
        <v>0</v>
      </c>
      <c r="AQ752" t="n">
        <v>0</v>
      </c>
      <c r="AR752" t="inlineStr">
        <is>
          <t>No</t>
        </is>
      </c>
      <c r="AS752" t="inlineStr">
        <is>
          <t>Yes</t>
        </is>
      </c>
      <c r="AT752">
        <f>HYPERLINK("http://catalog.hathitrust.org/Record/002702098","HathiTrust Record")</f>
        <v/>
      </c>
      <c r="AU752">
        <f>HYPERLINK("https://creighton-primo.hosted.exlibrisgroup.com/primo-explore/search?tab=default_tab&amp;search_scope=EVERYTHING&amp;vid=01CRU&amp;lang=en_US&amp;offset=0&amp;query=any,contains,991000376849702656","Catalog Record")</f>
        <v/>
      </c>
      <c r="AV752">
        <f>HYPERLINK("http://www.worldcat.org/oclc/10475094","WorldCat Record")</f>
        <v/>
      </c>
      <c r="AW752" t="inlineStr">
        <is>
          <t>472650289:spa</t>
        </is>
      </c>
      <c r="AX752" t="inlineStr">
        <is>
          <t>10475094</t>
        </is>
      </c>
      <c r="AY752" t="inlineStr">
        <is>
          <t>991000376849702656</t>
        </is>
      </c>
      <c r="AZ752" t="inlineStr">
        <is>
          <t>991000376849702656</t>
        </is>
      </c>
      <c r="BA752" t="inlineStr">
        <is>
          <t>2259005220002656</t>
        </is>
      </c>
      <c r="BB752" t="inlineStr">
        <is>
          <t>BOOK</t>
        </is>
      </c>
      <c r="BD752" t="inlineStr">
        <is>
          <t>9789685900539</t>
        </is>
      </c>
      <c r="BE752" t="inlineStr">
        <is>
          <t>32285002095809</t>
        </is>
      </c>
      <c r="BF752" t="inlineStr">
        <is>
          <t>893425629</t>
        </is>
      </c>
    </row>
    <row r="753">
      <c r="A753" t="inlineStr">
        <is>
          <t>No</t>
        </is>
      </c>
      <c r="B753" t="inlineStr">
        <is>
          <t>CURAL</t>
        </is>
      </c>
      <c r="C753" t="inlineStr">
        <is>
          <t>SHELVES</t>
        </is>
      </c>
      <c r="D753" t="inlineStr">
        <is>
          <t>PQ7081 .B347 1988</t>
        </is>
      </c>
      <c r="E753" t="inlineStr">
        <is>
          <t>0                      PQ 7081000B  347         1988</t>
        </is>
      </c>
      <c r="F753" t="inlineStr">
        <is>
          <t>Historia de la literatura hispanoamericana / Giuseppe Bellini.</t>
        </is>
      </c>
      <c r="H753" t="inlineStr">
        <is>
          <t>No</t>
        </is>
      </c>
      <c r="I753" t="inlineStr">
        <is>
          <t>1</t>
        </is>
      </c>
      <c r="J753" t="inlineStr">
        <is>
          <t>No</t>
        </is>
      </c>
      <c r="K753" t="inlineStr">
        <is>
          <t>No</t>
        </is>
      </c>
      <c r="L753" t="inlineStr">
        <is>
          <t>0</t>
        </is>
      </c>
      <c r="M753" t="inlineStr">
        <is>
          <t>Bellini, Giuseppe, 1923-2016.</t>
        </is>
      </c>
      <c r="N753" t="inlineStr">
        <is>
          <t>Madrid : Castalia, [1988], c1985.</t>
        </is>
      </c>
      <c r="O753" t="inlineStr">
        <is>
          <t>1988</t>
        </is>
      </c>
      <c r="P753" t="inlineStr">
        <is>
          <t>2a ed., corr.</t>
        </is>
      </c>
      <c r="Q753" t="inlineStr">
        <is>
          <t>spa</t>
        </is>
      </c>
      <c r="R753" t="inlineStr">
        <is>
          <t xml:space="preserve">sp </t>
        </is>
      </c>
      <c r="S753" t="inlineStr">
        <is>
          <t>Literatura y sociedad ; 35</t>
        </is>
      </c>
      <c r="T753" t="inlineStr">
        <is>
          <t xml:space="preserve">PQ </t>
        </is>
      </c>
      <c r="U753" t="n">
        <v>2</v>
      </c>
      <c r="V753" t="n">
        <v>2</v>
      </c>
      <c r="W753" t="inlineStr">
        <is>
          <t>1993-10-24</t>
        </is>
      </c>
      <c r="X753" t="inlineStr">
        <is>
          <t>1993-10-24</t>
        </is>
      </c>
      <c r="Y753" t="inlineStr">
        <is>
          <t>1992-01-16</t>
        </is>
      </c>
      <c r="Z753" t="inlineStr">
        <is>
          <t>1992-01-16</t>
        </is>
      </c>
      <c r="AA753" t="n">
        <v>19</v>
      </c>
      <c r="AB753" t="n">
        <v>16</v>
      </c>
      <c r="AC753" t="n">
        <v>286</v>
      </c>
      <c r="AD753" t="n">
        <v>1</v>
      </c>
      <c r="AE753" t="n">
        <v>4</v>
      </c>
      <c r="AF753" t="n">
        <v>2</v>
      </c>
      <c r="AG753" t="n">
        <v>20</v>
      </c>
      <c r="AH753" t="n">
        <v>0</v>
      </c>
      <c r="AI753" t="n">
        <v>5</v>
      </c>
      <c r="AJ753" t="n">
        <v>1</v>
      </c>
      <c r="AK753" t="n">
        <v>5</v>
      </c>
      <c r="AL753" t="n">
        <v>1</v>
      </c>
      <c r="AM753" t="n">
        <v>11</v>
      </c>
      <c r="AN753" t="n">
        <v>0</v>
      </c>
      <c r="AO753" t="n">
        <v>3</v>
      </c>
      <c r="AP753" t="n">
        <v>0</v>
      </c>
      <c r="AQ753" t="n">
        <v>0</v>
      </c>
      <c r="AR753" t="inlineStr">
        <is>
          <t>No</t>
        </is>
      </c>
      <c r="AS753" t="inlineStr">
        <is>
          <t>No</t>
        </is>
      </c>
      <c r="AU753">
        <f>HYPERLINK("https://creighton-primo.hosted.exlibrisgroup.com/primo-explore/search?tab=default_tab&amp;search_scope=EVERYTHING&amp;vid=01CRU&amp;lang=en_US&amp;offset=0&amp;query=any,contains,991001566169702656","Catalog Record")</f>
        <v/>
      </c>
      <c r="AV753">
        <f>HYPERLINK("http://www.worldcat.org/oclc/20345849","WorldCat Record")</f>
        <v/>
      </c>
      <c r="AW753" t="inlineStr">
        <is>
          <t>5576681:spa</t>
        </is>
      </c>
      <c r="AX753" t="inlineStr">
        <is>
          <t>20345849</t>
        </is>
      </c>
      <c r="AY753" t="inlineStr">
        <is>
          <t>991001566169702656</t>
        </is>
      </c>
      <c r="AZ753" t="inlineStr">
        <is>
          <t>991001566169702656</t>
        </is>
      </c>
      <c r="BA753" t="inlineStr">
        <is>
          <t>2272220770002656</t>
        </is>
      </c>
      <c r="BB753" t="inlineStr">
        <is>
          <t>BOOK</t>
        </is>
      </c>
      <c r="BD753" t="inlineStr">
        <is>
          <t>9788470394485</t>
        </is>
      </c>
      <c r="BE753" t="inlineStr">
        <is>
          <t>32285000864214</t>
        </is>
      </c>
      <c r="BF753" t="inlineStr">
        <is>
          <t>893509687</t>
        </is>
      </c>
    </row>
    <row r="754">
      <c r="A754" t="inlineStr">
        <is>
          <t>No</t>
        </is>
      </c>
      <c r="B754" t="inlineStr">
        <is>
          <t>CURAL</t>
        </is>
      </c>
      <c r="C754" t="inlineStr">
        <is>
          <t>SHELVES</t>
        </is>
      </c>
      <c r="D754" t="inlineStr">
        <is>
          <t>PQ7081 .B347 1997</t>
        </is>
      </c>
      <c r="E754" t="inlineStr">
        <is>
          <t>0                      PQ 7081000B  347         1997</t>
        </is>
      </c>
      <c r="F754" t="inlineStr">
        <is>
          <t>Nueva historia de la literatura hispanoamericana / Giuseppe Bellini.</t>
        </is>
      </c>
      <c r="H754" t="inlineStr">
        <is>
          <t>No</t>
        </is>
      </c>
      <c r="I754" t="inlineStr">
        <is>
          <t>1</t>
        </is>
      </c>
      <c r="J754" t="inlineStr">
        <is>
          <t>No</t>
        </is>
      </c>
      <c r="K754" t="inlineStr">
        <is>
          <t>No</t>
        </is>
      </c>
      <c r="L754" t="inlineStr">
        <is>
          <t>0</t>
        </is>
      </c>
      <c r="M754" t="inlineStr">
        <is>
          <t>Bellini, Giuseppe, 1923-2016.</t>
        </is>
      </c>
      <c r="N754" t="inlineStr">
        <is>
          <t>Madrid : Castalia, 1997.</t>
        </is>
      </c>
      <c r="O754" t="inlineStr">
        <is>
          <t>1997</t>
        </is>
      </c>
      <c r="P754" t="inlineStr">
        <is>
          <t>3. ed., corr. y aum.</t>
        </is>
      </c>
      <c r="Q754" t="inlineStr">
        <is>
          <t>spa</t>
        </is>
      </c>
      <c r="R754" t="inlineStr">
        <is>
          <t xml:space="preserve">sp </t>
        </is>
      </c>
      <c r="S754" t="inlineStr">
        <is>
          <t>Literatura y sociedad ; 60</t>
        </is>
      </c>
      <c r="T754" t="inlineStr">
        <is>
          <t xml:space="preserve">PQ </t>
        </is>
      </c>
      <c r="U754" t="n">
        <v>1</v>
      </c>
      <c r="V754" t="n">
        <v>1</v>
      </c>
      <c r="W754" t="inlineStr">
        <is>
          <t>2002-07-24</t>
        </is>
      </c>
      <c r="X754" t="inlineStr">
        <is>
          <t>2002-07-24</t>
        </is>
      </c>
      <c r="Y754" t="inlineStr">
        <is>
          <t>2002-07-17</t>
        </is>
      </c>
      <c r="Z754" t="inlineStr">
        <is>
          <t>2002-07-17</t>
        </is>
      </c>
      <c r="AA754" t="n">
        <v>174</v>
      </c>
      <c r="AB754" t="n">
        <v>129</v>
      </c>
      <c r="AC754" t="n">
        <v>152</v>
      </c>
      <c r="AD754" t="n">
        <v>1</v>
      </c>
      <c r="AE754" t="n">
        <v>1</v>
      </c>
      <c r="AF754" t="n">
        <v>8</v>
      </c>
      <c r="AG754" t="n">
        <v>9</v>
      </c>
      <c r="AH754" t="n">
        <v>4</v>
      </c>
      <c r="AI754" t="n">
        <v>4</v>
      </c>
      <c r="AJ754" t="n">
        <v>2</v>
      </c>
      <c r="AK754" t="n">
        <v>3</v>
      </c>
      <c r="AL754" t="n">
        <v>5</v>
      </c>
      <c r="AM754" t="n">
        <v>5</v>
      </c>
      <c r="AN754" t="n">
        <v>0</v>
      </c>
      <c r="AO754" t="n">
        <v>0</v>
      </c>
      <c r="AP754" t="n">
        <v>0</v>
      </c>
      <c r="AQ754" t="n">
        <v>0</v>
      </c>
      <c r="AR754" t="inlineStr">
        <is>
          <t>No</t>
        </is>
      </c>
      <c r="AS754" t="inlineStr">
        <is>
          <t>Yes</t>
        </is>
      </c>
      <c r="AT754">
        <f>HYPERLINK("http://catalog.hathitrust.org/Record/101095602","HathiTrust Record")</f>
        <v/>
      </c>
      <c r="AU754">
        <f>HYPERLINK("https://creighton-primo.hosted.exlibrisgroup.com/primo-explore/search?tab=default_tab&amp;search_scope=EVERYTHING&amp;vid=01CRU&amp;lang=en_US&amp;offset=0&amp;query=any,contains,991003836039702656","Catalog Record")</f>
        <v/>
      </c>
      <c r="AV754">
        <f>HYPERLINK("http://www.worldcat.org/oclc/37898024","WorldCat Record")</f>
        <v/>
      </c>
      <c r="AW754" t="inlineStr">
        <is>
          <t>3769184827:spa</t>
        </is>
      </c>
      <c r="AX754" t="inlineStr">
        <is>
          <t>37898024</t>
        </is>
      </c>
      <c r="AY754" t="inlineStr">
        <is>
          <t>991003836039702656</t>
        </is>
      </c>
      <c r="AZ754" t="inlineStr">
        <is>
          <t>991003836039702656</t>
        </is>
      </c>
      <c r="BA754" t="inlineStr">
        <is>
          <t>2266665370002656</t>
        </is>
      </c>
      <c r="BB754" t="inlineStr">
        <is>
          <t>BOOK</t>
        </is>
      </c>
      <c r="BD754" t="inlineStr">
        <is>
          <t>9788470397578</t>
        </is>
      </c>
      <c r="BE754" t="inlineStr">
        <is>
          <t>32285004498886</t>
        </is>
      </c>
      <c r="BF754" t="inlineStr">
        <is>
          <t>893806275</t>
        </is>
      </c>
    </row>
    <row r="755">
      <c r="A755" t="inlineStr">
        <is>
          <t>No</t>
        </is>
      </c>
      <c r="B755" t="inlineStr">
        <is>
          <t>CURAL</t>
        </is>
      </c>
      <c r="C755" t="inlineStr">
        <is>
          <t>SHELVES</t>
        </is>
      </c>
      <c r="D755" t="inlineStr">
        <is>
          <t>PQ7081 .C293 1975</t>
        </is>
      </c>
      <c r="E755" t="inlineStr">
        <is>
          <t>0                      PQ 7081000C  293         1975</t>
        </is>
      </c>
      <c r="F755" t="inlineStr">
        <is>
          <t>El romanticismo en la América hispánica / Emilio Carilla.</t>
        </is>
      </c>
      <c r="G755" t="inlineStr">
        <is>
          <t>V.1</t>
        </is>
      </c>
      <c r="H755" t="inlineStr">
        <is>
          <t>Yes</t>
        </is>
      </c>
      <c r="I755" t="inlineStr">
        <is>
          <t>1</t>
        </is>
      </c>
      <c r="J755" t="inlineStr">
        <is>
          <t>No</t>
        </is>
      </c>
      <c r="K755" t="inlineStr">
        <is>
          <t>Yes</t>
        </is>
      </c>
      <c r="L755" t="inlineStr">
        <is>
          <t>0</t>
        </is>
      </c>
      <c r="M755" t="inlineStr">
        <is>
          <t>Carilla, Emilio.</t>
        </is>
      </c>
      <c r="N755" t="inlineStr">
        <is>
          <t>Madrid : Editorial Gredos, c1975.</t>
        </is>
      </c>
      <c r="O755" t="inlineStr">
        <is>
          <t>1975</t>
        </is>
      </c>
      <c r="P755" t="inlineStr">
        <is>
          <t>3. ed. rev. y ampl.</t>
        </is>
      </c>
      <c r="Q755" t="inlineStr">
        <is>
          <t>spa</t>
        </is>
      </c>
      <c r="R755" t="inlineStr">
        <is>
          <t xml:space="preserve">sp </t>
        </is>
      </c>
      <c r="S755" t="inlineStr">
        <is>
          <t>Biblioteca románica hispánica. II, Estudios y ensayos ; 40</t>
        </is>
      </c>
      <c r="T755" t="inlineStr">
        <is>
          <t xml:space="preserve">PQ </t>
        </is>
      </c>
      <c r="U755" t="n">
        <v>2</v>
      </c>
      <c r="V755" t="n">
        <v>4</v>
      </c>
      <c r="W755" t="inlineStr">
        <is>
          <t>1995-08-21</t>
        </is>
      </c>
      <c r="X755" t="inlineStr">
        <is>
          <t>1995-08-21</t>
        </is>
      </c>
      <c r="Y755" t="inlineStr">
        <is>
          <t>1995-08-17</t>
        </is>
      </c>
      <c r="Z755" t="inlineStr">
        <is>
          <t>1995-08-17</t>
        </is>
      </c>
      <c r="AA755" t="n">
        <v>162</v>
      </c>
      <c r="AB755" t="n">
        <v>128</v>
      </c>
      <c r="AC755" t="n">
        <v>587</v>
      </c>
      <c r="AD755" t="n">
        <v>3</v>
      </c>
      <c r="AE755" t="n">
        <v>7</v>
      </c>
      <c r="AF755" t="n">
        <v>6</v>
      </c>
      <c r="AG755" t="n">
        <v>31</v>
      </c>
      <c r="AH755" t="n">
        <v>1</v>
      </c>
      <c r="AI755" t="n">
        <v>9</v>
      </c>
      <c r="AJ755" t="n">
        <v>2</v>
      </c>
      <c r="AK755" t="n">
        <v>7</v>
      </c>
      <c r="AL755" t="n">
        <v>3</v>
      </c>
      <c r="AM755" t="n">
        <v>17</v>
      </c>
      <c r="AN755" t="n">
        <v>2</v>
      </c>
      <c r="AO755" t="n">
        <v>6</v>
      </c>
      <c r="AP755" t="n">
        <v>0</v>
      </c>
      <c r="AQ755" t="n">
        <v>0</v>
      </c>
      <c r="AR755" t="inlineStr">
        <is>
          <t>No</t>
        </is>
      </c>
      <c r="AS755" t="inlineStr">
        <is>
          <t>Yes</t>
        </is>
      </c>
      <c r="AT755">
        <f>HYPERLINK("http://catalog.hathitrust.org/Record/000699482","HathiTrust Record")</f>
        <v/>
      </c>
      <c r="AU755">
        <f>HYPERLINK("https://creighton-primo.hosted.exlibrisgroup.com/primo-explore/search?tab=default_tab&amp;search_scope=EVERYTHING&amp;vid=01CRU&amp;lang=en_US&amp;offset=0&amp;query=any,contains,991003997969702656","Catalog Record")</f>
        <v/>
      </c>
      <c r="AV755">
        <f>HYPERLINK("http://www.worldcat.org/oclc/2066807","WorldCat Record")</f>
        <v/>
      </c>
      <c r="AW755" t="inlineStr">
        <is>
          <t>34522613:spa</t>
        </is>
      </c>
      <c r="AX755" t="inlineStr">
        <is>
          <t>2066807</t>
        </is>
      </c>
      <c r="AY755" t="inlineStr">
        <is>
          <t>991003997969702656</t>
        </is>
      </c>
      <c r="AZ755" t="inlineStr">
        <is>
          <t>991003997969702656</t>
        </is>
      </c>
      <c r="BA755" t="inlineStr">
        <is>
          <t>2261882060002656</t>
        </is>
      </c>
      <c r="BB755" t="inlineStr">
        <is>
          <t>BOOK</t>
        </is>
      </c>
      <c r="BD755" t="inlineStr">
        <is>
          <t>9788424906245</t>
        </is>
      </c>
      <c r="BE755" t="inlineStr">
        <is>
          <t>32285002080579</t>
        </is>
      </c>
      <c r="BF755" t="inlineStr">
        <is>
          <t>893531856</t>
        </is>
      </c>
    </row>
    <row r="756">
      <c r="A756" t="inlineStr">
        <is>
          <t>No</t>
        </is>
      </c>
      <c r="B756" t="inlineStr">
        <is>
          <t>CURAL</t>
        </is>
      </c>
      <c r="C756" t="inlineStr">
        <is>
          <t>SHELVES</t>
        </is>
      </c>
      <c r="D756" t="inlineStr">
        <is>
          <t>PQ7081 .C293 1975</t>
        </is>
      </c>
      <c r="E756" t="inlineStr">
        <is>
          <t>0                      PQ 7081000C  293         1975</t>
        </is>
      </c>
      <c r="F756" t="inlineStr">
        <is>
          <t>El romanticismo en la América hispánica / Emilio Carilla.</t>
        </is>
      </c>
      <c r="G756" t="inlineStr">
        <is>
          <t>V.2</t>
        </is>
      </c>
      <c r="H756" t="inlineStr">
        <is>
          <t>Yes</t>
        </is>
      </c>
      <c r="I756" t="inlineStr">
        <is>
          <t>1</t>
        </is>
      </c>
      <c r="J756" t="inlineStr">
        <is>
          <t>No</t>
        </is>
      </c>
      <c r="K756" t="inlineStr">
        <is>
          <t>Yes</t>
        </is>
      </c>
      <c r="L756" t="inlineStr">
        <is>
          <t>0</t>
        </is>
      </c>
      <c r="M756" t="inlineStr">
        <is>
          <t>Carilla, Emilio.</t>
        </is>
      </c>
      <c r="N756" t="inlineStr">
        <is>
          <t>Madrid : Editorial Gredos, c1975.</t>
        </is>
      </c>
      <c r="O756" t="inlineStr">
        <is>
          <t>1975</t>
        </is>
      </c>
      <c r="P756" t="inlineStr">
        <is>
          <t>3. ed. rev. y ampl.</t>
        </is>
      </c>
      <c r="Q756" t="inlineStr">
        <is>
          <t>spa</t>
        </is>
      </c>
      <c r="R756" t="inlineStr">
        <is>
          <t xml:space="preserve">sp </t>
        </is>
      </c>
      <c r="S756" t="inlineStr">
        <is>
          <t>Biblioteca románica hispánica. II, Estudios y ensayos ; 40</t>
        </is>
      </c>
      <c r="T756" t="inlineStr">
        <is>
          <t xml:space="preserve">PQ </t>
        </is>
      </c>
      <c r="U756" t="n">
        <v>2</v>
      </c>
      <c r="V756" t="n">
        <v>4</v>
      </c>
      <c r="W756" t="inlineStr">
        <is>
          <t>1995-08-21</t>
        </is>
      </c>
      <c r="X756" t="inlineStr">
        <is>
          <t>1995-08-21</t>
        </is>
      </c>
      <c r="Y756" t="inlineStr">
        <is>
          <t>1995-08-17</t>
        </is>
      </c>
      <c r="Z756" t="inlineStr">
        <is>
          <t>1995-08-17</t>
        </is>
      </c>
      <c r="AA756" t="n">
        <v>162</v>
      </c>
      <c r="AB756" t="n">
        <v>128</v>
      </c>
      <c r="AC756" t="n">
        <v>587</v>
      </c>
      <c r="AD756" t="n">
        <v>3</v>
      </c>
      <c r="AE756" t="n">
        <v>7</v>
      </c>
      <c r="AF756" t="n">
        <v>6</v>
      </c>
      <c r="AG756" t="n">
        <v>31</v>
      </c>
      <c r="AH756" t="n">
        <v>1</v>
      </c>
      <c r="AI756" t="n">
        <v>9</v>
      </c>
      <c r="AJ756" t="n">
        <v>2</v>
      </c>
      <c r="AK756" t="n">
        <v>7</v>
      </c>
      <c r="AL756" t="n">
        <v>3</v>
      </c>
      <c r="AM756" t="n">
        <v>17</v>
      </c>
      <c r="AN756" t="n">
        <v>2</v>
      </c>
      <c r="AO756" t="n">
        <v>6</v>
      </c>
      <c r="AP756" t="n">
        <v>0</v>
      </c>
      <c r="AQ756" t="n">
        <v>0</v>
      </c>
      <c r="AR756" t="inlineStr">
        <is>
          <t>No</t>
        </is>
      </c>
      <c r="AS756" t="inlineStr">
        <is>
          <t>Yes</t>
        </is>
      </c>
      <c r="AT756">
        <f>HYPERLINK("http://catalog.hathitrust.org/Record/000699482","HathiTrust Record")</f>
        <v/>
      </c>
      <c r="AU756">
        <f>HYPERLINK("https://creighton-primo.hosted.exlibrisgroup.com/primo-explore/search?tab=default_tab&amp;search_scope=EVERYTHING&amp;vid=01CRU&amp;lang=en_US&amp;offset=0&amp;query=any,contains,991003997969702656","Catalog Record")</f>
        <v/>
      </c>
      <c r="AV756">
        <f>HYPERLINK("http://www.worldcat.org/oclc/2066807","WorldCat Record")</f>
        <v/>
      </c>
      <c r="AW756" t="inlineStr">
        <is>
          <t>34522613:spa</t>
        </is>
      </c>
      <c r="AX756" t="inlineStr">
        <is>
          <t>2066807</t>
        </is>
      </c>
      <c r="AY756" t="inlineStr">
        <is>
          <t>991003997969702656</t>
        </is>
      </c>
      <c r="AZ756" t="inlineStr">
        <is>
          <t>991003997969702656</t>
        </is>
      </c>
      <c r="BA756" t="inlineStr">
        <is>
          <t>2261882060002656</t>
        </is>
      </c>
      <c r="BB756" t="inlineStr">
        <is>
          <t>BOOK</t>
        </is>
      </c>
      <c r="BD756" t="inlineStr">
        <is>
          <t>9788424906245</t>
        </is>
      </c>
      <c r="BE756" t="inlineStr">
        <is>
          <t>32285002080587</t>
        </is>
      </c>
      <c r="BF756" t="inlineStr">
        <is>
          <t>893506252</t>
        </is>
      </c>
    </row>
    <row r="757">
      <c r="A757" t="inlineStr">
        <is>
          <t>No</t>
        </is>
      </c>
      <c r="B757" t="inlineStr">
        <is>
          <t>CURAL</t>
        </is>
      </c>
      <c r="C757" t="inlineStr">
        <is>
          <t>SHELVES</t>
        </is>
      </c>
      <c r="D757" t="inlineStr">
        <is>
          <t>PQ7081 .C388 1995</t>
        </is>
      </c>
      <c r="E757" t="inlineStr">
        <is>
          <t>0                      PQ 7081000C  388         1995</t>
        </is>
      </c>
      <c r="F757" t="inlineStr">
        <is>
          <t>Política de la teoría del lenguaje y la poesía en América Latina en el siglo XX / Diógenes Céspedes.</t>
        </is>
      </c>
      <c r="H757" t="inlineStr">
        <is>
          <t>No</t>
        </is>
      </c>
      <c r="I757" t="inlineStr">
        <is>
          <t>1</t>
        </is>
      </c>
      <c r="J757" t="inlineStr">
        <is>
          <t>No</t>
        </is>
      </c>
      <c r="K757" t="inlineStr">
        <is>
          <t>No</t>
        </is>
      </c>
      <c r="L757" t="inlineStr">
        <is>
          <t>0</t>
        </is>
      </c>
      <c r="M757" t="inlineStr">
        <is>
          <t>Céspedes, Diógenes.</t>
        </is>
      </c>
      <c r="N757" t="inlineStr">
        <is>
          <t>Santo Domingo, República Dominicana : Universidad Autónoma de Santo Domingo, Editora Universitaria : Librería La Trinitaria, 1995.</t>
        </is>
      </c>
      <c r="O757" t="inlineStr">
        <is>
          <t>1995</t>
        </is>
      </c>
      <c r="Q757" t="inlineStr">
        <is>
          <t>spa</t>
        </is>
      </c>
      <c r="R757" t="inlineStr">
        <is>
          <t xml:space="preserve">dr </t>
        </is>
      </c>
      <c r="S757" t="inlineStr">
        <is>
          <t>Publicaciones de la Universidad Autónoma de Santo Domingo ; vol. 749. Colección Literatura y sociedad ; no. 46</t>
        </is>
      </c>
      <c r="T757" t="inlineStr">
        <is>
          <t xml:space="preserve">PQ </t>
        </is>
      </c>
      <c r="U757" t="n">
        <v>1</v>
      </c>
      <c r="V757" t="n">
        <v>1</v>
      </c>
      <c r="W757" t="inlineStr">
        <is>
          <t>1998-02-14</t>
        </is>
      </c>
      <c r="X757" t="inlineStr">
        <is>
          <t>1998-02-14</t>
        </is>
      </c>
      <c r="Y757" t="inlineStr">
        <is>
          <t>1997-04-30</t>
        </is>
      </c>
      <c r="Z757" t="inlineStr">
        <is>
          <t>1997-04-30</t>
        </is>
      </c>
      <c r="AA757" t="n">
        <v>55</v>
      </c>
      <c r="AB757" t="n">
        <v>47</v>
      </c>
      <c r="AC757" t="n">
        <v>49</v>
      </c>
      <c r="AD757" t="n">
        <v>1</v>
      </c>
      <c r="AE757" t="n">
        <v>1</v>
      </c>
      <c r="AF757" t="n">
        <v>1</v>
      </c>
      <c r="AG757" t="n">
        <v>1</v>
      </c>
      <c r="AH757" t="n">
        <v>0</v>
      </c>
      <c r="AI757" t="n">
        <v>0</v>
      </c>
      <c r="AJ757" t="n">
        <v>1</v>
      </c>
      <c r="AK757" t="n">
        <v>1</v>
      </c>
      <c r="AL757" t="n">
        <v>0</v>
      </c>
      <c r="AM757" t="n">
        <v>0</v>
      </c>
      <c r="AN757" t="n">
        <v>0</v>
      </c>
      <c r="AO757" t="n">
        <v>0</v>
      </c>
      <c r="AP757" t="n">
        <v>0</v>
      </c>
      <c r="AQ757" t="n">
        <v>0</v>
      </c>
      <c r="AR757" t="inlineStr">
        <is>
          <t>No</t>
        </is>
      </c>
      <c r="AS757" t="inlineStr">
        <is>
          <t>Yes</t>
        </is>
      </c>
      <c r="AT757">
        <f>HYPERLINK("http://catalog.hathitrust.org/Record/003073244","HathiTrust Record")</f>
        <v/>
      </c>
      <c r="AU757">
        <f>HYPERLINK("https://creighton-primo.hosted.exlibrisgroup.com/primo-explore/search?tab=default_tab&amp;search_scope=EVERYTHING&amp;vid=01CRU&amp;lang=en_US&amp;offset=0&amp;query=any,contains,991002548749702656","Catalog Record")</f>
        <v/>
      </c>
      <c r="AV757">
        <f>HYPERLINK("http://www.worldcat.org/oclc/33104012","WorldCat Record")</f>
        <v/>
      </c>
      <c r="AW757" t="inlineStr">
        <is>
          <t>37252113:spa</t>
        </is>
      </c>
      <c r="AX757" t="inlineStr">
        <is>
          <t>33104012</t>
        </is>
      </c>
      <c r="AY757" t="inlineStr">
        <is>
          <t>991002548749702656</t>
        </is>
      </c>
      <c r="AZ757" t="inlineStr">
        <is>
          <t>991002548749702656</t>
        </is>
      </c>
      <c r="BA757" t="inlineStr">
        <is>
          <t>2263838060002656</t>
        </is>
      </c>
      <c r="BB757" t="inlineStr">
        <is>
          <t>BOOK</t>
        </is>
      </c>
      <c r="BD757" t="inlineStr">
        <is>
          <t>9788489527027</t>
        </is>
      </c>
      <c r="BE757" t="inlineStr">
        <is>
          <t>32285002542743</t>
        </is>
      </c>
      <c r="BF757" t="inlineStr">
        <is>
          <t>893685468</t>
        </is>
      </c>
    </row>
    <row r="758">
      <c r="A758" t="inlineStr">
        <is>
          <t>No</t>
        </is>
      </c>
      <c r="B758" t="inlineStr">
        <is>
          <t>CURAL</t>
        </is>
      </c>
      <c r="C758" t="inlineStr">
        <is>
          <t>SHELVES</t>
        </is>
      </c>
      <c r="D758" t="inlineStr">
        <is>
          <t>PQ7081 .C6 1928</t>
        </is>
      </c>
      <c r="E758" t="inlineStr">
        <is>
          <t>0                      PQ 7081000C  6           1928</t>
        </is>
      </c>
      <c r="F758" t="inlineStr">
        <is>
          <t>The literary history of Spanish America, by Alfred Coester ...</t>
        </is>
      </c>
      <c r="H758" t="inlineStr">
        <is>
          <t>No</t>
        </is>
      </c>
      <c r="I758" t="inlineStr">
        <is>
          <t>1</t>
        </is>
      </c>
      <c r="J758" t="inlineStr">
        <is>
          <t>No</t>
        </is>
      </c>
      <c r="K758" t="inlineStr">
        <is>
          <t>No</t>
        </is>
      </c>
      <c r="L758" t="inlineStr">
        <is>
          <t>0</t>
        </is>
      </c>
      <c r="M758" t="inlineStr">
        <is>
          <t>Coester, Alfred, 1874-1958.</t>
        </is>
      </c>
      <c r="N758" t="inlineStr">
        <is>
          <t>New York, The Macmillan Company, 1928.</t>
        </is>
      </c>
      <c r="O758" t="inlineStr">
        <is>
          <t>1928</t>
        </is>
      </c>
      <c r="P758" t="inlineStr">
        <is>
          <t>2d ed.</t>
        </is>
      </c>
      <c r="Q758" t="inlineStr">
        <is>
          <t>eng</t>
        </is>
      </c>
      <c r="R758" t="inlineStr">
        <is>
          <t>nyu</t>
        </is>
      </c>
      <c r="T758" t="inlineStr">
        <is>
          <t xml:space="preserve">PQ </t>
        </is>
      </c>
      <c r="U758" t="n">
        <v>4</v>
      </c>
      <c r="V758" t="n">
        <v>4</v>
      </c>
      <c r="W758" t="inlineStr">
        <is>
          <t>1997-10-29</t>
        </is>
      </c>
      <c r="X758" t="inlineStr">
        <is>
          <t>1997-10-29</t>
        </is>
      </c>
      <c r="Y758" t="inlineStr">
        <is>
          <t>1997-10-01</t>
        </is>
      </c>
      <c r="Z758" t="inlineStr">
        <is>
          <t>1997-10-01</t>
        </is>
      </c>
      <c r="AA758" t="n">
        <v>408</v>
      </c>
      <c r="AB758" t="n">
        <v>387</v>
      </c>
      <c r="AC758" t="n">
        <v>931</v>
      </c>
      <c r="AD758" t="n">
        <v>6</v>
      </c>
      <c r="AE758" t="n">
        <v>7</v>
      </c>
      <c r="AF758" t="n">
        <v>24</v>
      </c>
      <c r="AG758" t="n">
        <v>45</v>
      </c>
      <c r="AH758" t="n">
        <v>6</v>
      </c>
      <c r="AI758" t="n">
        <v>19</v>
      </c>
      <c r="AJ758" t="n">
        <v>4</v>
      </c>
      <c r="AK758" t="n">
        <v>9</v>
      </c>
      <c r="AL758" t="n">
        <v>14</v>
      </c>
      <c r="AM758" t="n">
        <v>22</v>
      </c>
      <c r="AN758" t="n">
        <v>5</v>
      </c>
      <c r="AO758" t="n">
        <v>6</v>
      </c>
      <c r="AP758" t="n">
        <v>0</v>
      </c>
      <c r="AQ758" t="n">
        <v>0</v>
      </c>
      <c r="AR758" t="inlineStr">
        <is>
          <t>No</t>
        </is>
      </c>
      <c r="AS758" t="inlineStr">
        <is>
          <t>Yes</t>
        </is>
      </c>
      <c r="AT758">
        <f>HYPERLINK("http://catalog.hathitrust.org/Record/006137111","HathiTrust Record")</f>
        <v/>
      </c>
      <c r="AU758">
        <f>HYPERLINK("https://creighton-primo.hosted.exlibrisgroup.com/primo-explore/search?tab=default_tab&amp;search_scope=EVERYTHING&amp;vid=01CRU&amp;lang=en_US&amp;offset=0&amp;query=any,contains,991003937759702656","Catalog Record")</f>
        <v/>
      </c>
      <c r="AV758">
        <f>HYPERLINK("http://www.worldcat.org/oclc/1919733","WorldCat Record")</f>
        <v/>
      </c>
      <c r="AW758" t="inlineStr">
        <is>
          <t>1223063:eng</t>
        </is>
      </c>
      <c r="AX758" t="inlineStr">
        <is>
          <t>1919733</t>
        </is>
      </c>
      <c r="AY758" t="inlineStr">
        <is>
          <t>991003937759702656</t>
        </is>
      </c>
      <c r="AZ758" t="inlineStr">
        <is>
          <t>991003937759702656</t>
        </is>
      </c>
      <c r="BA758" t="inlineStr">
        <is>
          <t>2258112620002656</t>
        </is>
      </c>
      <c r="BB758" t="inlineStr">
        <is>
          <t>BOOK</t>
        </is>
      </c>
      <c r="BE758" t="inlineStr">
        <is>
          <t>32285003236600</t>
        </is>
      </c>
      <c r="BF758" t="inlineStr">
        <is>
          <t>893417022</t>
        </is>
      </c>
    </row>
    <row r="759">
      <c r="A759" t="inlineStr">
        <is>
          <t>No</t>
        </is>
      </c>
      <c r="B759" t="inlineStr">
        <is>
          <t>CURAL</t>
        </is>
      </c>
      <c r="C759" t="inlineStr">
        <is>
          <t>SHELVES</t>
        </is>
      </c>
      <c r="D759" t="inlineStr">
        <is>
          <t>PQ7081 .D63 1998</t>
        </is>
      </c>
      <c r="E759" t="inlineStr">
        <is>
          <t>0                      PQ 7081000D  63          1998</t>
        </is>
      </c>
      <c r="F759" t="inlineStr">
        <is>
          <t>Historia personal del "boom" / José Donoso.</t>
        </is>
      </c>
      <c r="H759" t="inlineStr">
        <is>
          <t>No</t>
        </is>
      </c>
      <c r="I759" t="inlineStr">
        <is>
          <t>1</t>
        </is>
      </c>
      <c r="J759" t="inlineStr">
        <is>
          <t>No</t>
        </is>
      </c>
      <c r="K759" t="inlineStr">
        <is>
          <t>No</t>
        </is>
      </c>
      <c r="L759" t="inlineStr">
        <is>
          <t>0</t>
        </is>
      </c>
      <c r="M759" t="inlineStr">
        <is>
          <t>Donoso, José, 1924-1996.</t>
        </is>
      </c>
      <c r="N759" t="inlineStr">
        <is>
          <t>Providencia, Santiago de Chile : Alfaguara : Aguilar Chilena de Ediciones, c1998.</t>
        </is>
      </c>
      <c r="O759" t="inlineStr">
        <is>
          <t>1998</t>
        </is>
      </c>
      <c r="P759" t="inlineStr">
        <is>
          <t>1a ed. en Alfaguara.</t>
        </is>
      </c>
      <c r="Q759" t="inlineStr">
        <is>
          <t>spa</t>
        </is>
      </c>
      <c r="R759" t="inlineStr">
        <is>
          <t xml:space="preserve">cl </t>
        </is>
      </c>
      <c r="S759" t="inlineStr">
        <is>
          <t>Textos de escritos</t>
        </is>
      </c>
      <c r="T759" t="inlineStr">
        <is>
          <t xml:space="preserve">PQ </t>
        </is>
      </c>
      <c r="U759" t="n">
        <v>2</v>
      </c>
      <c r="V759" t="n">
        <v>2</v>
      </c>
      <c r="W759" t="inlineStr">
        <is>
          <t>2002-05-08</t>
        </is>
      </c>
      <c r="X759" t="inlineStr">
        <is>
          <t>2002-05-08</t>
        </is>
      </c>
      <c r="Y759" t="inlineStr">
        <is>
          <t>2002-04-30</t>
        </is>
      </c>
      <c r="Z759" t="inlineStr">
        <is>
          <t>2002-04-30</t>
        </is>
      </c>
      <c r="AA759" t="n">
        <v>85</v>
      </c>
      <c r="AB759" t="n">
        <v>70</v>
      </c>
      <c r="AC759" t="n">
        <v>363</v>
      </c>
      <c r="AD759" t="n">
        <v>1</v>
      </c>
      <c r="AE759" t="n">
        <v>2</v>
      </c>
      <c r="AF759" t="n">
        <v>1</v>
      </c>
      <c r="AG759" t="n">
        <v>11</v>
      </c>
      <c r="AH759" t="n">
        <v>0</v>
      </c>
      <c r="AI759" t="n">
        <v>2</v>
      </c>
      <c r="AJ759" t="n">
        <v>1</v>
      </c>
      <c r="AK759" t="n">
        <v>4</v>
      </c>
      <c r="AL759" t="n">
        <v>1</v>
      </c>
      <c r="AM759" t="n">
        <v>8</v>
      </c>
      <c r="AN759" t="n">
        <v>0</v>
      </c>
      <c r="AO759" t="n">
        <v>1</v>
      </c>
      <c r="AP759" t="n">
        <v>0</v>
      </c>
      <c r="AQ759" t="n">
        <v>0</v>
      </c>
      <c r="AR759" t="inlineStr">
        <is>
          <t>No</t>
        </is>
      </c>
      <c r="AS759" t="inlineStr">
        <is>
          <t>No</t>
        </is>
      </c>
      <c r="AU759">
        <f>HYPERLINK("https://creighton-primo.hosted.exlibrisgroup.com/primo-explore/search?tab=default_tab&amp;search_scope=EVERYTHING&amp;vid=01CRU&amp;lang=en_US&amp;offset=0&amp;query=any,contains,991003772799702656","Catalog Record")</f>
        <v/>
      </c>
      <c r="AV759">
        <f>HYPERLINK("http://www.worldcat.org/oclc/42007938","WorldCat Record")</f>
        <v/>
      </c>
      <c r="AW759" t="inlineStr">
        <is>
          <t>14298462:spa</t>
        </is>
      </c>
      <c r="AX759" t="inlineStr">
        <is>
          <t>42007938</t>
        </is>
      </c>
      <c r="AY759" t="inlineStr">
        <is>
          <t>991003772799702656</t>
        </is>
      </c>
      <c r="AZ759" t="inlineStr">
        <is>
          <t>991003772799702656</t>
        </is>
      </c>
      <c r="BA759" t="inlineStr">
        <is>
          <t>2270628160002656</t>
        </is>
      </c>
      <c r="BB759" t="inlineStr">
        <is>
          <t>BOOK</t>
        </is>
      </c>
      <c r="BD759" t="inlineStr">
        <is>
          <t>9789562390477</t>
        </is>
      </c>
      <c r="BE759" t="inlineStr">
        <is>
          <t>32285004484902</t>
        </is>
      </c>
      <c r="BF759" t="inlineStr">
        <is>
          <t>893592871</t>
        </is>
      </c>
    </row>
    <row r="760">
      <c r="A760" t="inlineStr">
        <is>
          <t>No</t>
        </is>
      </c>
      <c r="B760" t="inlineStr">
        <is>
          <t>CURAL</t>
        </is>
      </c>
      <c r="C760" t="inlineStr">
        <is>
          <t>SHELVES</t>
        </is>
      </c>
      <c r="D760" t="inlineStr">
        <is>
          <t>PQ7081 .F374 1975</t>
        </is>
      </c>
      <c r="E760" t="inlineStr">
        <is>
          <t>0                      PQ 7081000F  374         1975</t>
        </is>
      </c>
      <c r="F760" t="inlineStr">
        <is>
          <t>Para una teoría de la literatura hispanoamericana y otras aproximaciones / Roberto Fernández Retamar.</t>
        </is>
      </c>
      <c r="H760" t="inlineStr">
        <is>
          <t>No</t>
        </is>
      </c>
      <c r="I760" t="inlineStr">
        <is>
          <t>1</t>
        </is>
      </c>
      <c r="J760" t="inlineStr">
        <is>
          <t>No</t>
        </is>
      </c>
      <c r="K760" t="inlineStr">
        <is>
          <t>No</t>
        </is>
      </c>
      <c r="L760" t="inlineStr">
        <is>
          <t>0</t>
        </is>
      </c>
      <c r="M760" t="inlineStr">
        <is>
          <t>Fernández Retamar, Roberto.</t>
        </is>
      </c>
      <c r="N760" t="inlineStr">
        <is>
          <t>La Habana : Casa de la Américas, 1975.</t>
        </is>
      </c>
      <c r="O760" t="inlineStr">
        <is>
          <t>1975</t>
        </is>
      </c>
      <c r="Q760" t="inlineStr">
        <is>
          <t>spa</t>
        </is>
      </c>
      <c r="R760" t="inlineStr">
        <is>
          <t xml:space="preserve">cu </t>
        </is>
      </c>
      <c r="S760" t="inlineStr">
        <is>
          <t>Cuadernos Casa ; 16</t>
        </is>
      </c>
      <c r="T760" t="inlineStr">
        <is>
          <t xml:space="preserve">PQ </t>
        </is>
      </c>
      <c r="U760" t="n">
        <v>1</v>
      </c>
      <c r="V760" t="n">
        <v>1</v>
      </c>
      <c r="W760" t="inlineStr">
        <is>
          <t>2002-01-30</t>
        </is>
      </c>
      <c r="X760" t="inlineStr">
        <is>
          <t>2002-01-30</t>
        </is>
      </c>
      <c r="Y760" t="inlineStr">
        <is>
          <t>2002-01-30</t>
        </is>
      </c>
      <c r="Z760" t="inlineStr">
        <is>
          <t>2002-01-30</t>
        </is>
      </c>
      <c r="AA760" t="n">
        <v>87</v>
      </c>
      <c r="AB760" t="n">
        <v>50</v>
      </c>
      <c r="AC760" t="n">
        <v>57</v>
      </c>
      <c r="AD760" t="n">
        <v>1</v>
      </c>
      <c r="AE760" t="n">
        <v>1</v>
      </c>
      <c r="AF760" t="n">
        <v>1</v>
      </c>
      <c r="AG760" t="n">
        <v>1</v>
      </c>
      <c r="AH760" t="n">
        <v>0</v>
      </c>
      <c r="AI760" t="n">
        <v>0</v>
      </c>
      <c r="AJ760" t="n">
        <v>1</v>
      </c>
      <c r="AK760" t="n">
        <v>1</v>
      </c>
      <c r="AL760" t="n">
        <v>1</v>
      </c>
      <c r="AM760" t="n">
        <v>1</v>
      </c>
      <c r="AN760" t="n">
        <v>0</v>
      </c>
      <c r="AO760" t="n">
        <v>0</v>
      </c>
      <c r="AP760" t="n">
        <v>0</v>
      </c>
      <c r="AQ760" t="n">
        <v>0</v>
      </c>
      <c r="AR760" t="inlineStr">
        <is>
          <t>No</t>
        </is>
      </c>
      <c r="AS760" t="inlineStr">
        <is>
          <t>Yes</t>
        </is>
      </c>
      <c r="AT760">
        <f>HYPERLINK("http://catalog.hathitrust.org/Record/000747173","HathiTrust Record")</f>
        <v/>
      </c>
      <c r="AU760">
        <f>HYPERLINK("https://creighton-primo.hosted.exlibrisgroup.com/primo-explore/search?tab=default_tab&amp;search_scope=EVERYTHING&amp;vid=01CRU&amp;lang=en_US&amp;offset=0&amp;query=any,contains,991003724569702656","Catalog Record")</f>
        <v/>
      </c>
      <c r="AV760">
        <f>HYPERLINK("http://www.worldcat.org/oclc/3274111","WorldCat Record")</f>
        <v/>
      </c>
      <c r="AW760" t="inlineStr">
        <is>
          <t>3753777900:spa</t>
        </is>
      </c>
      <c r="AX760" t="inlineStr">
        <is>
          <t>3274111</t>
        </is>
      </c>
      <c r="AY760" t="inlineStr">
        <is>
          <t>991003724569702656</t>
        </is>
      </c>
      <c r="AZ760" t="inlineStr">
        <is>
          <t>991003724569702656</t>
        </is>
      </c>
      <c r="BA760" t="inlineStr">
        <is>
          <t>2255960720002656</t>
        </is>
      </c>
      <c r="BB760" t="inlineStr">
        <is>
          <t>BOOK</t>
        </is>
      </c>
      <c r="BE760" t="inlineStr">
        <is>
          <t>32285004450739</t>
        </is>
      </c>
      <c r="BF760" t="inlineStr">
        <is>
          <t>893623820</t>
        </is>
      </c>
    </row>
    <row r="761">
      <c r="A761" t="inlineStr">
        <is>
          <t>No</t>
        </is>
      </c>
      <c r="B761" t="inlineStr">
        <is>
          <t>CURAL</t>
        </is>
      </c>
      <c r="C761" t="inlineStr">
        <is>
          <t>SHELVES</t>
        </is>
      </c>
      <c r="D761" t="inlineStr">
        <is>
          <t>PQ7081 .F378 1992</t>
        </is>
      </c>
      <c r="E761" t="inlineStr">
        <is>
          <t>0                      PQ 7081000F  378         1992</t>
        </is>
      </c>
      <c r="F761" t="inlineStr">
        <is>
          <t>El coloquio de las perras / Rosario Ferré.</t>
        </is>
      </c>
      <c r="H761" t="inlineStr">
        <is>
          <t>No</t>
        </is>
      </c>
      <c r="I761" t="inlineStr">
        <is>
          <t>1</t>
        </is>
      </c>
      <c r="J761" t="inlineStr">
        <is>
          <t>No</t>
        </is>
      </c>
      <c r="K761" t="inlineStr">
        <is>
          <t>No</t>
        </is>
      </c>
      <c r="L761" t="inlineStr">
        <is>
          <t>0</t>
        </is>
      </c>
      <c r="M761" t="inlineStr">
        <is>
          <t>Ferré, Rosario.</t>
        </is>
      </c>
      <c r="N761" t="inlineStr">
        <is>
          <t>México, D.F. : Servicios Especializados y Representaciones en Comercio Exterior ; Silver Spring, Md. : Literal Books, 1992.</t>
        </is>
      </c>
      <c r="O761" t="inlineStr">
        <is>
          <t>1992</t>
        </is>
      </c>
      <c r="P761" t="inlineStr">
        <is>
          <t>1. ed., corr. y aum.</t>
        </is>
      </c>
      <c r="Q761" t="inlineStr">
        <is>
          <t>spa</t>
        </is>
      </c>
      <c r="R761" t="inlineStr">
        <is>
          <t xml:space="preserve">mx </t>
        </is>
      </c>
      <c r="T761" t="inlineStr">
        <is>
          <t xml:space="preserve">PQ </t>
        </is>
      </c>
      <c r="U761" t="n">
        <v>0</v>
      </c>
      <c r="V761" t="n">
        <v>0</v>
      </c>
      <c r="W761" t="inlineStr">
        <is>
          <t>2002-02-27</t>
        </is>
      </c>
      <c r="X761" t="inlineStr">
        <is>
          <t>2002-02-27</t>
        </is>
      </c>
      <c r="Y761" t="inlineStr">
        <is>
          <t>1996-06-19</t>
        </is>
      </c>
      <c r="Z761" t="inlineStr">
        <is>
          <t>1996-06-19</t>
        </is>
      </c>
      <c r="AA761" t="n">
        <v>59</v>
      </c>
      <c r="AB761" t="n">
        <v>52</v>
      </c>
      <c r="AC761" t="n">
        <v>212</v>
      </c>
      <c r="AD761" t="n">
        <v>1</v>
      </c>
      <c r="AE761" t="n">
        <v>1</v>
      </c>
      <c r="AF761" t="n">
        <v>3</v>
      </c>
      <c r="AG761" t="n">
        <v>10</v>
      </c>
      <c r="AH761" t="n">
        <v>1</v>
      </c>
      <c r="AI761" t="n">
        <v>4</v>
      </c>
      <c r="AJ761" t="n">
        <v>1</v>
      </c>
      <c r="AK761" t="n">
        <v>3</v>
      </c>
      <c r="AL761" t="n">
        <v>1</v>
      </c>
      <c r="AM761" t="n">
        <v>6</v>
      </c>
      <c r="AN761" t="n">
        <v>0</v>
      </c>
      <c r="AO761" t="n">
        <v>0</v>
      </c>
      <c r="AP761" t="n">
        <v>0</v>
      </c>
      <c r="AQ761" t="n">
        <v>0</v>
      </c>
      <c r="AR761" t="inlineStr">
        <is>
          <t>No</t>
        </is>
      </c>
      <c r="AS761" t="inlineStr">
        <is>
          <t>Yes</t>
        </is>
      </c>
      <c r="AT761">
        <f>HYPERLINK("http://catalog.hathitrust.org/Record/008321444","HathiTrust Record")</f>
        <v/>
      </c>
      <c r="AU761">
        <f>HYPERLINK("https://creighton-primo.hosted.exlibrisgroup.com/primo-explore/search?tab=default_tab&amp;search_scope=EVERYTHING&amp;vid=01CRU&amp;lang=en_US&amp;offset=0&amp;query=any,contains,991002207599702656","Catalog Record")</f>
        <v/>
      </c>
      <c r="AV761">
        <f>HYPERLINK("http://www.worldcat.org/oclc/28391494","WorldCat Record")</f>
        <v/>
      </c>
      <c r="AW761" t="inlineStr">
        <is>
          <t>366638211:spa</t>
        </is>
      </c>
      <c r="AX761" t="inlineStr">
        <is>
          <t>28391494</t>
        </is>
      </c>
      <c r="AY761" t="inlineStr">
        <is>
          <t>991002207599702656</t>
        </is>
      </c>
      <c r="AZ761" t="inlineStr">
        <is>
          <t>991002207599702656</t>
        </is>
      </c>
      <c r="BA761" t="inlineStr">
        <is>
          <t>2266174130002656</t>
        </is>
      </c>
      <c r="BB761" t="inlineStr">
        <is>
          <t>BOOK</t>
        </is>
      </c>
      <c r="BE761" t="inlineStr">
        <is>
          <t>32285002194982</t>
        </is>
      </c>
      <c r="BF761" t="inlineStr">
        <is>
          <t>893504127</t>
        </is>
      </c>
    </row>
    <row r="762">
      <c r="A762" t="inlineStr">
        <is>
          <t>No</t>
        </is>
      </c>
      <c r="B762" t="inlineStr">
        <is>
          <t>CURAL</t>
        </is>
      </c>
      <c r="C762" t="inlineStr">
        <is>
          <t>SHELVES</t>
        </is>
      </c>
      <c r="D762" t="inlineStr">
        <is>
          <t>PQ7081 .F58 2000</t>
        </is>
      </c>
      <c r="E762" t="inlineStr">
        <is>
          <t>0                      PQ 7081000F  58          2000</t>
        </is>
      </c>
      <c r="F762" t="inlineStr">
        <is>
          <t>Crónicas elementales / R.A. Font-Bernard.</t>
        </is>
      </c>
      <c r="H762" t="inlineStr">
        <is>
          <t>No</t>
        </is>
      </c>
      <c r="I762" t="inlineStr">
        <is>
          <t>1</t>
        </is>
      </c>
      <c r="J762" t="inlineStr">
        <is>
          <t>No</t>
        </is>
      </c>
      <c r="K762" t="inlineStr">
        <is>
          <t>No</t>
        </is>
      </c>
      <c r="L762" t="inlineStr">
        <is>
          <t>0</t>
        </is>
      </c>
      <c r="M762" t="inlineStr">
        <is>
          <t>Font-Bernard, R. A.</t>
        </is>
      </c>
      <c r="N762" t="inlineStr">
        <is>
          <t>[Dominican Republic] : Editorial Letra Gráfica, [2000]</t>
        </is>
      </c>
      <c r="O762" t="inlineStr">
        <is>
          <t>2000</t>
        </is>
      </c>
      <c r="Q762" t="inlineStr">
        <is>
          <t>spa</t>
        </is>
      </c>
      <c r="R762" t="inlineStr">
        <is>
          <t xml:space="preserve">dr </t>
        </is>
      </c>
      <c r="T762" t="inlineStr">
        <is>
          <t xml:space="preserve">PQ </t>
        </is>
      </c>
      <c r="U762" t="n">
        <v>1</v>
      </c>
      <c r="V762" t="n">
        <v>1</v>
      </c>
      <c r="W762" t="inlineStr">
        <is>
          <t>2002-05-24</t>
        </is>
      </c>
      <c r="X762" t="inlineStr">
        <is>
          <t>2002-05-24</t>
        </is>
      </c>
      <c r="Y762" t="inlineStr">
        <is>
          <t>2001-09-11</t>
        </is>
      </c>
      <c r="Z762" t="inlineStr">
        <is>
          <t>2001-09-11</t>
        </is>
      </c>
      <c r="AA762" t="n">
        <v>12</v>
      </c>
      <c r="AB762" t="n">
        <v>11</v>
      </c>
      <c r="AC762" t="n">
        <v>18</v>
      </c>
      <c r="AD762" t="n">
        <v>1</v>
      </c>
      <c r="AE762" t="n">
        <v>1</v>
      </c>
      <c r="AF762" t="n">
        <v>1</v>
      </c>
      <c r="AG762" t="n">
        <v>1</v>
      </c>
      <c r="AH762" t="n">
        <v>0</v>
      </c>
      <c r="AI762" t="n">
        <v>0</v>
      </c>
      <c r="AJ762" t="n">
        <v>1</v>
      </c>
      <c r="AK762" t="n">
        <v>1</v>
      </c>
      <c r="AL762" t="n">
        <v>0</v>
      </c>
      <c r="AM762" t="n">
        <v>0</v>
      </c>
      <c r="AN762" t="n">
        <v>0</v>
      </c>
      <c r="AO762" t="n">
        <v>0</v>
      </c>
      <c r="AP762" t="n">
        <v>0</v>
      </c>
      <c r="AQ762" t="n">
        <v>0</v>
      </c>
      <c r="AR762" t="inlineStr">
        <is>
          <t>No</t>
        </is>
      </c>
      <c r="AS762" t="inlineStr">
        <is>
          <t>Yes</t>
        </is>
      </c>
      <c r="AT762">
        <f>HYPERLINK("http://catalog.hathitrust.org/Record/008447792","HathiTrust Record")</f>
        <v/>
      </c>
      <c r="AU762">
        <f>HYPERLINK("https://creighton-primo.hosted.exlibrisgroup.com/primo-explore/search?tab=default_tab&amp;search_scope=EVERYTHING&amp;vid=01CRU&amp;lang=en_US&amp;offset=0&amp;query=any,contains,991003625909702656","Catalog Record")</f>
        <v/>
      </c>
      <c r="AV762">
        <f>HYPERLINK("http://www.worldcat.org/oclc/47772963","WorldCat Record")</f>
        <v/>
      </c>
      <c r="AW762" t="inlineStr">
        <is>
          <t>13320001:spa</t>
        </is>
      </c>
      <c r="AX762" t="inlineStr">
        <is>
          <t>47772963</t>
        </is>
      </c>
      <c r="AY762" t="inlineStr">
        <is>
          <t>991003625909702656</t>
        </is>
      </c>
      <c r="AZ762" t="inlineStr">
        <is>
          <t>991003625909702656</t>
        </is>
      </c>
      <c r="BA762" t="inlineStr">
        <is>
          <t>2259873720002656</t>
        </is>
      </c>
      <c r="BB762" t="inlineStr">
        <is>
          <t>BOOK</t>
        </is>
      </c>
      <c r="BD762" t="inlineStr">
        <is>
          <t>9789993481706</t>
        </is>
      </c>
      <c r="BE762" t="inlineStr">
        <is>
          <t>32285004390497</t>
        </is>
      </c>
      <c r="BF762" t="inlineStr">
        <is>
          <t>893717901</t>
        </is>
      </c>
    </row>
    <row r="763">
      <c r="A763" t="inlineStr">
        <is>
          <t>No</t>
        </is>
      </c>
      <c r="B763" t="inlineStr">
        <is>
          <t>CURAL</t>
        </is>
      </c>
      <c r="C763" t="inlineStr">
        <is>
          <t>SHELVES</t>
        </is>
      </c>
      <c r="D763" t="inlineStr">
        <is>
          <t>PQ7081 .F6431 2001</t>
        </is>
      </c>
      <c r="E763" t="inlineStr">
        <is>
          <t>0                      PQ 7081000F  6431        2001</t>
        </is>
      </c>
      <c r="F763" t="inlineStr">
        <is>
          <t>Historia de la literatura hispanoamericana : a partir de la independencia / Jean Franco ; [traducción de Carlos Pujol].</t>
        </is>
      </c>
      <c r="H763" t="inlineStr">
        <is>
          <t>No</t>
        </is>
      </c>
      <c r="I763" t="inlineStr">
        <is>
          <t>1</t>
        </is>
      </c>
      <c r="J763" t="inlineStr">
        <is>
          <t>No</t>
        </is>
      </c>
      <c r="K763" t="inlineStr">
        <is>
          <t>Yes</t>
        </is>
      </c>
      <c r="L763" t="inlineStr">
        <is>
          <t>0</t>
        </is>
      </c>
      <c r="M763" t="inlineStr">
        <is>
          <t>Franco, Jean, 1924-</t>
        </is>
      </c>
      <c r="N763" t="inlineStr">
        <is>
          <t>Barcelona : Ariel, 2001.</t>
        </is>
      </c>
      <c r="O763" t="inlineStr">
        <is>
          <t>2001</t>
        </is>
      </c>
      <c r="P763" t="inlineStr">
        <is>
          <t>14a ed.</t>
        </is>
      </c>
      <c r="Q763" t="inlineStr">
        <is>
          <t>spa</t>
        </is>
      </c>
      <c r="R763" t="inlineStr">
        <is>
          <t xml:space="preserve">sp </t>
        </is>
      </c>
      <c r="S763" t="inlineStr">
        <is>
          <t>Letras e ideas. Instrumenta</t>
        </is>
      </c>
      <c r="T763" t="inlineStr">
        <is>
          <t xml:space="preserve">PQ </t>
        </is>
      </c>
      <c r="U763" t="n">
        <v>1</v>
      </c>
      <c r="V763" t="n">
        <v>1</v>
      </c>
      <c r="W763" t="inlineStr">
        <is>
          <t>2002-05-17</t>
        </is>
      </c>
      <c r="X763" t="inlineStr">
        <is>
          <t>2002-05-17</t>
        </is>
      </c>
      <c r="Y763" t="inlineStr">
        <is>
          <t>2002-05-14</t>
        </is>
      </c>
      <c r="Z763" t="inlineStr">
        <is>
          <t>2002-05-14</t>
        </is>
      </c>
      <c r="AA763" t="n">
        <v>22</v>
      </c>
      <c r="AB763" t="n">
        <v>18</v>
      </c>
      <c r="AC763" t="n">
        <v>441</v>
      </c>
      <c r="AD763" t="n">
        <v>1</v>
      </c>
      <c r="AE763" t="n">
        <v>4</v>
      </c>
      <c r="AF763" t="n">
        <v>0</v>
      </c>
      <c r="AG763" t="n">
        <v>22</v>
      </c>
      <c r="AH763" t="n">
        <v>0</v>
      </c>
      <c r="AI763" t="n">
        <v>8</v>
      </c>
      <c r="AJ763" t="n">
        <v>0</v>
      </c>
      <c r="AK763" t="n">
        <v>6</v>
      </c>
      <c r="AL763" t="n">
        <v>0</v>
      </c>
      <c r="AM763" t="n">
        <v>10</v>
      </c>
      <c r="AN763" t="n">
        <v>0</v>
      </c>
      <c r="AO763" t="n">
        <v>3</v>
      </c>
      <c r="AP763" t="n">
        <v>0</v>
      </c>
      <c r="AQ763" t="n">
        <v>0</v>
      </c>
      <c r="AR763" t="inlineStr">
        <is>
          <t>No</t>
        </is>
      </c>
      <c r="AS763" t="inlineStr">
        <is>
          <t>No</t>
        </is>
      </c>
      <c r="AU763">
        <f>HYPERLINK("https://creighton-primo.hosted.exlibrisgroup.com/primo-explore/search?tab=default_tab&amp;search_scope=EVERYTHING&amp;vid=01CRU&amp;lang=en_US&amp;offset=0&amp;query=any,contains,991003776529702656","Catalog Record")</f>
        <v/>
      </c>
      <c r="AV763">
        <f>HYPERLINK("http://www.worldcat.org/oclc/44464011","WorldCat Record")</f>
        <v/>
      </c>
      <c r="AW763" t="inlineStr">
        <is>
          <t>1767644:spa</t>
        </is>
      </c>
      <c r="AX763" t="inlineStr">
        <is>
          <t>44464011</t>
        </is>
      </c>
      <c r="AY763" t="inlineStr">
        <is>
          <t>991003776529702656</t>
        </is>
      </c>
      <c r="AZ763" t="inlineStr">
        <is>
          <t>991003776529702656</t>
        </is>
      </c>
      <c r="BA763" t="inlineStr">
        <is>
          <t>2264487630002656</t>
        </is>
      </c>
      <c r="BB763" t="inlineStr">
        <is>
          <t>BOOK</t>
        </is>
      </c>
      <c r="BD763" t="inlineStr">
        <is>
          <t>9788434483156</t>
        </is>
      </c>
      <c r="BE763" t="inlineStr">
        <is>
          <t>32285004488481</t>
        </is>
      </c>
      <c r="BF763" t="inlineStr">
        <is>
          <t>893505980</t>
        </is>
      </c>
    </row>
    <row r="764">
      <c r="A764" t="inlineStr">
        <is>
          <t>No</t>
        </is>
      </c>
      <c r="B764" t="inlineStr">
        <is>
          <t>CURAL</t>
        </is>
      </c>
      <c r="C764" t="inlineStr">
        <is>
          <t>SHELVES</t>
        </is>
      </c>
      <c r="D764" t="inlineStr">
        <is>
          <t>PQ7081 .G54 1988</t>
        </is>
      </c>
      <c r="E764" t="inlineStr">
        <is>
          <t>0                      PQ 7081000G  54          1988</t>
        </is>
      </c>
      <c r="F764" t="inlineStr">
        <is>
          <t>Historia y crítica de la literatura hispanoamericana / Cedomil Goić.</t>
        </is>
      </c>
      <c r="G764" t="inlineStr">
        <is>
          <t>V.3</t>
        </is>
      </c>
      <c r="H764" t="inlineStr">
        <is>
          <t>Yes</t>
        </is>
      </c>
      <c r="I764" t="inlineStr">
        <is>
          <t>1</t>
        </is>
      </c>
      <c r="J764" t="inlineStr">
        <is>
          <t>No</t>
        </is>
      </c>
      <c r="K764" t="inlineStr">
        <is>
          <t>No</t>
        </is>
      </c>
      <c r="L764" t="inlineStr">
        <is>
          <t>0</t>
        </is>
      </c>
      <c r="M764" t="inlineStr">
        <is>
          <t>Goić, Cedomil.</t>
        </is>
      </c>
      <c r="N764" t="inlineStr">
        <is>
          <t>Barcelona : Editorial Crítica, Grupo Editorial Grijalbo, c1988-c1991.</t>
        </is>
      </c>
      <c r="O764" t="inlineStr">
        <is>
          <t>1988</t>
        </is>
      </c>
      <c r="Q764" t="inlineStr">
        <is>
          <t>spa</t>
        </is>
      </c>
      <c r="R764" t="inlineStr">
        <is>
          <t xml:space="preserve">sp </t>
        </is>
      </c>
      <c r="S764" t="inlineStr">
        <is>
          <t>Páginas de filología</t>
        </is>
      </c>
      <c r="T764" t="inlineStr">
        <is>
          <t xml:space="preserve">PQ </t>
        </is>
      </c>
      <c r="U764" t="n">
        <v>5</v>
      </c>
      <c r="V764" t="n">
        <v>12</v>
      </c>
      <c r="W764" t="inlineStr">
        <is>
          <t>1999-09-24</t>
        </is>
      </c>
      <c r="X764" t="inlineStr">
        <is>
          <t>2002-01-29</t>
        </is>
      </c>
      <c r="Y764" t="inlineStr">
        <is>
          <t>1993-09-02</t>
        </is>
      </c>
      <c r="Z764" t="inlineStr">
        <is>
          <t>1993-09-02</t>
        </is>
      </c>
      <c r="AA764" t="n">
        <v>309</v>
      </c>
      <c r="AB764" t="n">
        <v>256</v>
      </c>
      <c r="AC764" t="n">
        <v>263</v>
      </c>
      <c r="AD764" t="n">
        <v>2</v>
      </c>
      <c r="AE764" t="n">
        <v>2</v>
      </c>
      <c r="AF764" t="n">
        <v>14</v>
      </c>
      <c r="AG764" t="n">
        <v>14</v>
      </c>
      <c r="AH764" t="n">
        <v>4</v>
      </c>
      <c r="AI764" t="n">
        <v>4</v>
      </c>
      <c r="AJ764" t="n">
        <v>4</v>
      </c>
      <c r="AK764" t="n">
        <v>4</v>
      </c>
      <c r="AL764" t="n">
        <v>8</v>
      </c>
      <c r="AM764" t="n">
        <v>8</v>
      </c>
      <c r="AN764" t="n">
        <v>1</v>
      </c>
      <c r="AO764" t="n">
        <v>1</v>
      </c>
      <c r="AP764" t="n">
        <v>0</v>
      </c>
      <c r="AQ764" t="n">
        <v>0</v>
      </c>
      <c r="AR764" t="inlineStr">
        <is>
          <t>No</t>
        </is>
      </c>
      <c r="AS764" t="inlineStr">
        <is>
          <t>Yes</t>
        </is>
      </c>
      <c r="AT764">
        <f>HYPERLINK("http://catalog.hathitrust.org/Record/000937278","HathiTrust Record")</f>
        <v/>
      </c>
      <c r="AU764">
        <f>HYPERLINK("https://creighton-primo.hosted.exlibrisgroup.com/primo-explore/search?tab=default_tab&amp;search_scope=EVERYTHING&amp;vid=01CRU&amp;lang=en_US&amp;offset=0&amp;query=any,contains,991001342709702656","Catalog Record")</f>
        <v/>
      </c>
      <c r="AV764">
        <f>HYPERLINK("http://www.worldcat.org/oclc/18396914","WorldCat Record")</f>
        <v/>
      </c>
      <c r="AW764" t="inlineStr">
        <is>
          <t>3980261949:spa</t>
        </is>
      </c>
      <c r="AX764" t="inlineStr">
        <is>
          <t>18396914</t>
        </is>
      </c>
      <c r="AY764" t="inlineStr">
        <is>
          <t>991001342709702656</t>
        </is>
      </c>
      <c r="AZ764" t="inlineStr">
        <is>
          <t>991001342709702656</t>
        </is>
      </c>
      <c r="BA764" t="inlineStr">
        <is>
          <t>2257207930002656</t>
        </is>
      </c>
      <c r="BB764" t="inlineStr">
        <is>
          <t>BOOK</t>
        </is>
      </c>
      <c r="BD764" t="inlineStr">
        <is>
          <t>9788474233506</t>
        </is>
      </c>
      <c r="BE764" t="inlineStr">
        <is>
          <t>32285001729689</t>
        </is>
      </c>
      <c r="BF764" t="inlineStr">
        <is>
          <t>893334260</t>
        </is>
      </c>
    </row>
    <row r="765">
      <c r="A765" t="inlineStr">
        <is>
          <t>No</t>
        </is>
      </c>
      <c r="B765" t="inlineStr">
        <is>
          <t>CURAL</t>
        </is>
      </c>
      <c r="C765" t="inlineStr">
        <is>
          <t>SHELVES</t>
        </is>
      </c>
      <c r="D765" t="inlineStr">
        <is>
          <t>PQ7081 .G54 1988</t>
        </is>
      </c>
      <c r="E765" t="inlineStr">
        <is>
          <t>0                      PQ 7081000G  54          1988</t>
        </is>
      </c>
      <c r="F765" t="inlineStr">
        <is>
          <t>Historia y crítica de la literatura hispanoamericana / Cedomil Goić.</t>
        </is>
      </c>
      <c r="G765" t="inlineStr">
        <is>
          <t>V.2</t>
        </is>
      </c>
      <c r="H765" t="inlineStr">
        <is>
          <t>Yes</t>
        </is>
      </c>
      <c r="I765" t="inlineStr">
        <is>
          <t>1</t>
        </is>
      </c>
      <c r="J765" t="inlineStr">
        <is>
          <t>No</t>
        </is>
      </c>
      <c r="K765" t="inlineStr">
        <is>
          <t>No</t>
        </is>
      </c>
      <c r="L765" t="inlineStr">
        <is>
          <t>0</t>
        </is>
      </c>
      <c r="M765" t="inlineStr">
        <is>
          <t>Goić, Cedomil.</t>
        </is>
      </c>
      <c r="N765" t="inlineStr">
        <is>
          <t>Barcelona : Editorial Crítica, Grupo Editorial Grijalbo, c1988-c1991.</t>
        </is>
      </c>
      <c r="O765" t="inlineStr">
        <is>
          <t>1988</t>
        </is>
      </c>
      <c r="Q765" t="inlineStr">
        <is>
          <t>spa</t>
        </is>
      </c>
      <c r="R765" t="inlineStr">
        <is>
          <t xml:space="preserve">sp </t>
        </is>
      </c>
      <c r="S765" t="inlineStr">
        <is>
          <t>Páginas de filología</t>
        </is>
      </c>
      <c r="T765" t="inlineStr">
        <is>
          <t xml:space="preserve">PQ </t>
        </is>
      </c>
      <c r="U765" t="n">
        <v>7</v>
      </c>
      <c r="V765" t="n">
        <v>12</v>
      </c>
      <c r="W765" t="inlineStr">
        <is>
          <t>2002-01-29</t>
        </is>
      </c>
      <c r="X765" t="inlineStr">
        <is>
          <t>2002-01-29</t>
        </is>
      </c>
      <c r="Y765" t="inlineStr">
        <is>
          <t>1993-09-02</t>
        </is>
      </c>
      <c r="Z765" t="inlineStr">
        <is>
          <t>1993-09-02</t>
        </is>
      </c>
      <c r="AA765" t="n">
        <v>309</v>
      </c>
      <c r="AB765" t="n">
        <v>256</v>
      </c>
      <c r="AC765" t="n">
        <v>263</v>
      </c>
      <c r="AD765" t="n">
        <v>2</v>
      </c>
      <c r="AE765" t="n">
        <v>2</v>
      </c>
      <c r="AF765" t="n">
        <v>14</v>
      </c>
      <c r="AG765" t="n">
        <v>14</v>
      </c>
      <c r="AH765" t="n">
        <v>4</v>
      </c>
      <c r="AI765" t="n">
        <v>4</v>
      </c>
      <c r="AJ765" t="n">
        <v>4</v>
      </c>
      <c r="AK765" t="n">
        <v>4</v>
      </c>
      <c r="AL765" t="n">
        <v>8</v>
      </c>
      <c r="AM765" t="n">
        <v>8</v>
      </c>
      <c r="AN765" t="n">
        <v>1</v>
      </c>
      <c r="AO765" t="n">
        <v>1</v>
      </c>
      <c r="AP765" t="n">
        <v>0</v>
      </c>
      <c r="AQ765" t="n">
        <v>0</v>
      </c>
      <c r="AR765" t="inlineStr">
        <is>
          <t>No</t>
        </is>
      </c>
      <c r="AS765" t="inlineStr">
        <is>
          <t>Yes</t>
        </is>
      </c>
      <c r="AT765">
        <f>HYPERLINK("http://catalog.hathitrust.org/Record/000937278","HathiTrust Record")</f>
        <v/>
      </c>
      <c r="AU765">
        <f>HYPERLINK("https://creighton-primo.hosted.exlibrisgroup.com/primo-explore/search?tab=default_tab&amp;search_scope=EVERYTHING&amp;vid=01CRU&amp;lang=en_US&amp;offset=0&amp;query=any,contains,991001342709702656","Catalog Record")</f>
        <v/>
      </c>
      <c r="AV765">
        <f>HYPERLINK("http://www.worldcat.org/oclc/18396914","WorldCat Record")</f>
        <v/>
      </c>
      <c r="AW765" t="inlineStr">
        <is>
          <t>3980261949:spa</t>
        </is>
      </c>
      <c r="AX765" t="inlineStr">
        <is>
          <t>18396914</t>
        </is>
      </c>
      <c r="AY765" t="inlineStr">
        <is>
          <t>991001342709702656</t>
        </is>
      </c>
      <c r="AZ765" t="inlineStr">
        <is>
          <t>991001342709702656</t>
        </is>
      </c>
      <c r="BA765" t="inlineStr">
        <is>
          <t>2257207930002656</t>
        </is>
      </c>
      <c r="BB765" t="inlineStr">
        <is>
          <t>BOOK</t>
        </is>
      </c>
      <c r="BD765" t="inlineStr">
        <is>
          <t>9788474233506</t>
        </is>
      </c>
      <c r="BE765" t="inlineStr">
        <is>
          <t>32285001729671</t>
        </is>
      </c>
      <c r="BF765" t="inlineStr">
        <is>
          <t>893321849</t>
        </is>
      </c>
    </row>
    <row r="766">
      <c r="A766" t="inlineStr">
        <is>
          <t>No</t>
        </is>
      </c>
      <c r="B766" t="inlineStr">
        <is>
          <t>CURAL</t>
        </is>
      </c>
      <c r="C766" t="inlineStr">
        <is>
          <t>SHELVES</t>
        </is>
      </c>
      <c r="D766" t="inlineStr">
        <is>
          <t>PQ7081 .G659 1985</t>
        </is>
      </c>
      <c r="E766" t="inlineStr">
        <is>
          <t>0                      PQ 7081000G  659         1985</t>
        </is>
      </c>
      <c r="F766" t="inlineStr">
        <is>
          <t>Contribuciaon al estudio de la historiografaia literaria hispanoamericana / Beatriz Gonzaalez Stephan.</t>
        </is>
      </c>
      <c r="H766" t="inlineStr">
        <is>
          <t>No</t>
        </is>
      </c>
      <c r="I766" t="inlineStr">
        <is>
          <t>1</t>
        </is>
      </c>
      <c r="J766" t="inlineStr">
        <is>
          <t>No</t>
        </is>
      </c>
      <c r="K766" t="inlineStr">
        <is>
          <t>No</t>
        </is>
      </c>
      <c r="L766" t="inlineStr">
        <is>
          <t>0</t>
        </is>
      </c>
      <c r="M766" t="inlineStr">
        <is>
          <t>Gonzaalez Stephan, Beatriz.</t>
        </is>
      </c>
      <c r="N766" t="inlineStr">
        <is>
          <t>Caracas : Academia Nacional de la Historia, 1985.</t>
        </is>
      </c>
      <c r="O766" t="inlineStr">
        <is>
          <t>1985</t>
        </is>
      </c>
      <c r="Q766" t="inlineStr">
        <is>
          <t>spa</t>
        </is>
      </c>
      <c r="R766" t="inlineStr">
        <is>
          <t xml:space="preserve">ve </t>
        </is>
      </c>
      <c r="S766" t="inlineStr">
        <is>
          <t>Biblioteca de la Academia Nacional de la Historia. Estudios, monografaias y ensayos ; 59</t>
        </is>
      </c>
      <c r="T766" t="inlineStr">
        <is>
          <t xml:space="preserve">PQ </t>
        </is>
      </c>
      <c r="U766" t="n">
        <v>1</v>
      </c>
      <c r="V766" t="n">
        <v>1</v>
      </c>
      <c r="W766" t="inlineStr">
        <is>
          <t>2004-08-04</t>
        </is>
      </c>
      <c r="X766" t="inlineStr">
        <is>
          <t>2004-08-04</t>
        </is>
      </c>
      <c r="Y766" t="inlineStr">
        <is>
          <t>2004-08-04</t>
        </is>
      </c>
      <c r="Z766" t="inlineStr">
        <is>
          <t>2004-08-04</t>
        </is>
      </c>
      <c r="AA766" t="n">
        <v>56</v>
      </c>
      <c r="AB766" t="n">
        <v>42</v>
      </c>
      <c r="AC766" t="n">
        <v>44</v>
      </c>
      <c r="AD766" t="n">
        <v>1</v>
      </c>
      <c r="AE766" t="n">
        <v>1</v>
      </c>
      <c r="AF766" t="n">
        <v>2</v>
      </c>
      <c r="AG766" t="n">
        <v>2</v>
      </c>
      <c r="AH766" t="n">
        <v>0</v>
      </c>
      <c r="AI766" t="n">
        <v>0</v>
      </c>
      <c r="AJ766" t="n">
        <v>2</v>
      </c>
      <c r="AK766" t="n">
        <v>2</v>
      </c>
      <c r="AL766" t="n">
        <v>1</v>
      </c>
      <c r="AM766" t="n">
        <v>1</v>
      </c>
      <c r="AN766" t="n">
        <v>0</v>
      </c>
      <c r="AO766" t="n">
        <v>0</v>
      </c>
      <c r="AP766" t="n">
        <v>0</v>
      </c>
      <c r="AQ766" t="n">
        <v>0</v>
      </c>
      <c r="AR766" t="inlineStr">
        <is>
          <t>No</t>
        </is>
      </c>
      <c r="AS766" t="inlineStr">
        <is>
          <t>Yes</t>
        </is>
      </c>
      <c r="AT766">
        <f>HYPERLINK("http://catalog.hathitrust.org/Record/101095703","HathiTrust Record")</f>
        <v/>
      </c>
      <c r="AU766">
        <f>HYPERLINK("https://creighton-primo.hosted.exlibrisgroup.com/primo-explore/search?tab=default_tab&amp;search_scope=EVERYTHING&amp;vid=01CRU&amp;lang=en_US&amp;offset=0&amp;query=any,contains,991004335699702656","Catalog Record")</f>
        <v/>
      </c>
      <c r="AV766">
        <f>HYPERLINK("http://www.worldcat.org/oclc/13727762","WorldCat Record")</f>
        <v/>
      </c>
      <c r="AW766" t="inlineStr">
        <is>
          <t>7446935:spa</t>
        </is>
      </c>
      <c r="AX766" t="inlineStr">
        <is>
          <t>13727762</t>
        </is>
      </c>
      <c r="AY766" t="inlineStr">
        <is>
          <t>991004335699702656</t>
        </is>
      </c>
      <c r="AZ766" t="inlineStr">
        <is>
          <t>991004335699702656</t>
        </is>
      </c>
      <c r="BA766" t="inlineStr">
        <is>
          <t>2255051610002656</t>
        </is>
      </c>
      <c r="BB766" t="inlineStr">
        <is>
          <t>BOOK</t>
        </is>
      </c>
      <c r="BE766" t="inlineStr">
        <is>
          <t>32285004928221</t>
        </is>
      </c>
      <c r="BF766" t="inlineStr">
        <is>
          <t>893712469</t>
        </is>
      </c>
    </row>
    <row r="767">
      <c r="A767" t="inlineStr">
        <is>
          <t>No</t>
        </is>
      </c>
      <c r="B767" t="inlineStr">
        <is>
          <t>CURAL</t>
        </is>
      </c>
      <c r="C767" t="inlineStr">
        <is>
          <t>SHELVES</t>
        </is>
      </c>
      <c r="D767" t="inlineStr">
        <is>
          <t>PQ7081 .H35</t>
        </is>
      </c>
      <c r="E767" t="inlineStr">
        <is>
          <t>0                      PQ 7081000H  35</t>
        </is>
      </c>
      <c r="F767" t="inlineStr">
        <is>
          <t>Into the mainstream : conversations with Latin-American writers / [by] Luis Harss and Barbara Dohmann.</t>
        </is>
      </c>
      <c r="H767" t="inlineStr">
        <is>
          <t>No</t>
        </is>
      </c>
      <c r="I767" t="inlineStr">
        <is>
          <t>1</t>
        </is>
      </c>
      <c r="J767" t="inlineStr">
        <is>
          <t>No</t>
        </is>
      </c>
      <c r="K767" t="inlineStr">
        <is>
          <t>No</t>
        </is>
      </c>
      <c r="L767" t="inlineStr">
        <is>
          <t>0</t>
        </is>
      </c>
      <c r="M767" t="inlineStr">
        <is>
          <t>Harss, Luis, 1936-</t>
        </is>
      </c>
      <c r="N767" t="inlineStr">
        <is>
          <t>New York : Harper &amp; Row, [1967]</t>
        </is>
      </c>
      <c r="O767" t="inlineStr">
        <is>
          <t>1967</t>
        </is>
      </c>
      <c r="P767" t="inlineStr">
        <is>
          <t>[1st ed.]</t>
        </is>
      </c>
      <c r="Q767" t="inlineStr">
        <is>
          <t>eng</t>
        </is>
      </c>
      <c r="R767" t="inlineStr">
        <is>
          <t>nyu</t>
        </is>
      </c>
      <c r="T767" t="inlineStr">
        <is>
          <t xml:space="preserve">PQ </t>
        </is>
      </c>
      <c r="U767" t="n">
        <v>5</v>
      </c>
      <c r="V767" t="n">
        <v>5</v>
      </c>
      <c r="W767" t="inlineStr">
        <is>
          <t>1996-04-24</t>
        </is>
      </c>
      <c r="X767" t="inlineStr">
        <is>
          <t>1996-04-24</t>
        </is>
      </c>
      <c r="Y767" t="inlineStr">
        <is>
          <t>1991-08-12</t>
        </is>
      </c>
      <c r="Z767" t="inlineStr">
        <is>
          <t>1991-08-12</t>
        </is>
      </c>
      <c r="AA767" t="n">
        <v>1000</v>
      </c>
      <c r="AB767" t="n">
        <v>946</v>
      </c>
      <c r="AC767" t="n">
        <v>1018</v>
      </c>
      <c r="AD767" t="n">
        <v>8</v>
      </c>
      <c r="AE767" t="n">
        <v>8</v>
      </c>
      <c r="AF767" t="n">
        <v>39</v>
      </c>
      <c r="AG767" t="n">
        <v>41</v>
      </c>
      <c r="AH767" t="n">
        <v>15</v>
      </c>
      <c r="AI767" t="n">
        <v>17</v>
      </c>
      <c r="AJ767" t="n">
        <v>8</v>
      </c>
      <c r="AK767" t="n">
        <v>9</v>
      </c>
      <c r="AL767" t="n">
        <v>19</v>
      </c>
      <c r="AM767" t="n">
        <v>19</v>
      </c>
      <c r="AN767" t="n">
        <v>7</v>
      </c>
      <c r="AO767" t="n">
        <v>7</v>
      </c>
      <c r="AP767" t="n">
        <v>0</v>
      </c>
      <c r="AQ767" t="n">
        <v>0</v>
      </c>
      <c r="AR767" t="inlineStr">
        <is>
          <t>No</t>
        </is>
      </c>
      <c r="AS767" t="inlineStr">
        <is>
          <t>Yes</t>
        </is>
      </c>
      <c r="AT767">
        <f>HYPERLINK("http://catalog.hathitrust.org/Record/001111715","HathiTrust Record")</f>
        <v/>
      </c>
      <c r="AU767">
        <f>HYPERLINK("https://creighton-primo.hosted.exlibrisgroup.com/primo-explore/search?tab=default_tab&amp;search_scope=EVERYTHING&amp;vid=01CRU&amp;lang=en_US&amp;offset=0&amp;query=any,contains,991001374259702656","Catalog Record")</f>
        <v/>
      </c>
      <c r="AV767">
        <f>HYPERLINK("http://www.worldcat.org/oclc/224485","WorldCat Record")</f>
        <v/>
      </c>
      <c r="AW767" t="inlineStr">
        <is>
          <t>1334044:eng</t>
        </is>
      </c>
      <c r="AX767" t="inlineStr">
        <is>
          <t>224485</t>
        </is>
      </c>
      <c r="AY767" t="inlineStr">
        <is>
          <t>991001374259702656</t>
        </is>
      </c>
      <c r="AZ767" t="inlineStr">
        <is>
          <t>991001374259702656</t>
        </is>
      </c>
      <c r="BA767" t="inlineStr">
        <is>
          <t>2264208680002656</t>
        </is>
      </c>
      <c r="BB767" t="inlineStr">
        <is>
          <t>BOOK</t>
        </is>
      </c>
      <c r="BE767" t="inlineStr">
        <is>
          <t>32285000682392</t>
        </is>
      </c>
      <c r="BF767" t="inlineStr">
        <is>
          <t>893426556</t>
        </is>
      </c>
    </row>
    <row r="768">
      <c r="A768" t="inlineStr">
        <is>
          <t>No</t>
        </is>
      </c>
      <c r="B768" t="inlineStr">
        <is>
          <t>CURAL</t>
        </is>
      </c>
      <c r="C768" t="inlineStr">
        <is>
          <t>SHELVES</t>
        </is>
      </c>
      <c r="D768" t="inlineStr">
        <is>
          <t>PQ7081 .H357 1954</t>
        </is>
      </c>
      <c r="E768" t="inlineStr">
        <is>
          <t>0                      PQ 7081000H  357         1954</t>
        </is>
      </c>
      <c r="F768" t="inlineStr">
        <is>
          <t>Breve historia del modernismo / por Max Henraiquez Ureana.</t>
        </is>
      </c>
      <c r="H768" t="inlineStr">
        <is>
          <t>No</t>
        </is>
      </c>
      <c r="I768" t="inlineStr">
        <is>
          <t>1</t>
        </is>
      </c>
      <c r="J768" t="inlineStr">
        <is>
          <t>No</t>
        </is>
      </c>
      <c r="K768" t="inlineStr">
        <is>
          <t>No</t>
        </is>
      </c>
      <c r="L768" t="inlineStr">
        <is>
          <t>0</t>
        </is>
      </c>
      <c r="M768" t="inlineStr">
        <is>
          <t>Henríquez Ureña, Max, 1885-1968.</t>
        </is>
      </c>
      <c r="N768" t="inlineStr">
        <is>
          <t>Maexico : Fondo de Cultura Econaomica, c1954.</t>
        </is>
      </c>
      <c r="O768" t="inlineStr">
        <is>
          <t>1954</t>
        </is>
      </c>
      <c r="P768" t="inlineStr">
        <is>
          <t>[1a ed.].</t>
        </is>
      </c>
      <c r="Q768" t="inlineStr">
        <is>
          <t>spa</t>
        </is>
      </c>
      <c r="R768" t="inlineStr">
        <is>
          <t xml:space="preserve">mx </t>
        </is>
      </c>
      <c r="S768" t="inlineStr">
        <is>
          <t>Tierra firme</t>
        </is>
      </c>
      <c r="T768" t="inlineStr">
        <is>
          <t xml:space="preserve">PQ </t>
        </is>
      </c>
      <c r="U768" t="n">
        <v>1</v>
      </c>
      <c r="V768" t="n">
        <v>1</v>
      </c>
      <c r="W768" t="inlineStr">
        <is>
          <t>2004-08-04</t>
        </is>
      </c>
      <c r="X768" t="inlineStr">
        <is>
          <t>2004-08-04</t>
        </is>
      </c>
      <c r="Y768" t="inlineStr">
        <is>
          <t>2004-08-04</t>
        </is>
      </c>
      <c r="Z768" t="inlineStr">
        <is>
          <t>2004-08-04</t>
        </is>
      </c>
      <c r="AA768" t="n">
        <v>43</v>
      </c>
      <c r="AB768" t="n">
        <v>24</v>
      </c>
      <c r="AC768" t="n">
        <v>461</v>
      </c>
      <c r="AD768" t="n">
        <v>1</v>
      </c>
      <c r="AE768" t="n">
        <v>3</v>
      </c>
      <c r="AF768" t="n">
        <v>2</v>
      </c>
      <c r="AG768" t="n">
        <v>23</v>
      </c>
      <c r="AH768" t="n">
        <v>0</v>
      </c>
      <c r="AI768" t="n">
        <v>8</v>
      </c>
      <c r="AJ768" t="n">
        <v>0</v>
      </c>
      <c r="AK768" t="n">
        <v>5</v>
      </c>
      <c r="AL768" t="n">
        <v>2</v>
      </c>
      <c r="AM768" t="n">
        <v>14</v>
      </c>
      <c r="AN768" t="n">
        <v>0</v>
      </c>
      <c r="AO768" t="n">
        <v>2</v>
      </c>
      <c r="AP768" t="n">
        <v>0</v>
      </c>
      <c r="AQ768" t="n">
        <v>0</v>
      </c>
      <c r="AR768" t="inlineStr">
        <is>
          <t>No</t>
        </is>
      </c>
      <c r="AS768" t="inlineStr">
        <is>
          <t>No</t>
        </is>
      </c>
      <c r="AU768">
        <f>HYPERLINK("https://creighton-primo.hosted.exlibrisgroup.com/primo-explore/search?tab=default_tab&amp;search_scope=EVERYTHING&amp;vid=01CRU&amp;lang=en_US&amp;offset=0&amp;query=any,contains,991004336459702656","Catalog Record")</f>
        <v/>
      </c>
      <c r="AV768">
        <f>HYPERLINK("http://www.worldcat.org/oclc/15379294","WorldCat Record")</f>
        <v/>
      </c>
      <c r="AW768" t="inlineStr">
        <is>
          <t>228766708:spa</t>
        </is>
      </c>
      <c r="AX768" t="inlineStr">
        <is>
          <t>15379294</t>
        </is>
      </c>
      <c r="AY768" t="inlineStr">
        <is>
          <t>991004336459702656</t>
        </is>
      </c>
      <c r="AZ768" t="inlineStr">
        <is>
          <t>991004336459702656</t>
        </is>
      </c>
      <c r="BA768" t="inlineStr">
        <is>
          <t>2260278900002656</t>
        </is>
      </c>
      <c r="BB768" t="inlineStr">
        <is>
          <t>BOOK</t>
        </is>
      </c>
      <c r="BD768" t="inlineStr">
        <is>
          <t>9789681600853</t>
        </is>
      </c>
      <c r="BE768" t="inlineStr">
        <is>
          <t>32285004928338</t>
        </is>
      </c>
      <c r="BF768" t="inlineStr">
        <is>
          <t>893800868</t>
        </is>
      </c>
    </row>
    <row r="769">
      <c r="A769" t="inlineStr">
        <is>
          <t>No</t>
        </is>
      </c>
      <c r="B769" t="inlineStr">
        <is>
          <t>CURAL</t>
        </is>
      </c>
      <c r="C769" t="inlineStr">
        <is>
          <t>SHELVES</t>
        </is>
      </c>
      <c r="D769" t="inlineStr">
        <is>
          <t>PQ7081 .H57 1992</t>
        </is>
      </c>
      <c r="E769" t="inlineStr">
        <is>
          <t>0                      PQ 7081000H  57          1992</t>
        </is>
      </c>
      <c r="F769" t="inlineStr">
        <is>
          <t>Historia de la literatura hispanoamericana / Manuel Alvar ... [et al.] ; Luis Iñigo Madrigal, coordinador.</t>
        </is>
      </c>
      <c r="G769" t="inlineStr">
        <is>
          <t>V.1</t>
        </is>
      </c>
      <c r="H769" t="inlineStr">
        <is>
          <t>No</t>
        </is>
      </c>
      <c r="I769" t="inlineStr">
        <is>
          <t>1</t>
        </is>
      </c>
      <c r="J769" t="inlineStr">
        <is>
          <t>No</t>
        </is>
      </c>
      <c r="K769" t="inlineStr">
        <is>
          <t>Yes</t>
        </is>
      </c>
      <c r="L769" t="inlineStr">
        <is>
          <t>0</t>
        </is>
      </c>
      <c r="N769" t="inlineStr">
        <is>
          <t>Madrid : Cátedra, c1992-</t>
        </is>
      </c>
      <c r="O769" t="inlineStr">
        <is>
          <t>1992</t>
        </is>
      </c>
      <c r="P769" t="inlineStr">
        <is>
          <t>2. ed.</t>
        </is>
      </c>
      <c r="Q769" t="inlineStr">
        <is>
          <t>spa</t>
        </is>
      </c>
      <c r="R769" t="inlineStr">
        <is>
          <t xml:space="preserve">sp </t>
        </is>
      </c>
      <c r="S769" t="inlineStr">
        <is>
          <t>Crítica y estudios literarios</t>
        </is>
      </c>
      <c r="T769" t="inlineStr">
        <is>
          <t xml:space="preserve">PQ </t>
        </is>
      </c>
      <c r="U769" t="n">
        <v>5</v>
      </c>
      <c r="V769" t="n">
        <v>5</v>
      </c>
      <c r="W769" t="inlineStr">
        <is>
          <t>2000-08-28</t>
        </is>
      </c>
      <c r="X769" t="inlineStr">
        <is>
          <t>2000-08-28</t>
        </is>
      </c>
      <c r="Y769" t="inlineStr">
        <is>
          <t>1995-10-11</t>
        </is>
      </c>
      <c r="Z769" t="inlineStr">
        <is>
          <t>1995-10-11</t>
        </is>
      </c>
      <c r="AA769" t="n">
        <v>74</v>
      </c>
      <c r="AB769" t="n">
        <v>54</v>
      </c>
      <c r="AC769" t="n">
        <v>296</v>
      </c>
      <c r="AD769" t="n">
        <v>1</v>
      </c>
      <c r="AE769" t="n">
        <v>1</v>
      </c>
      <c r="AF769" t="n">
        <v>2</v>
      </c>
      <c r="AG769" t="n">
        <v>16</v>
      </c>
      <c r="AH769" t="n">
        <v>0</v>
      </c>
      <c r="AI769" t="n">
        <v>6</v>
      </c>
      <c r="AJ769" t="n">
        <v>1</v>
      </c>
      <c r="AK769" t="n">
        <v>6</v>
      </c>
      <c r="AL769" t="n">
        <v>1</v>
      </c>
      <c r="AM769" t="n">
        <v>10</v>
      </c>
      <c r="AN769" t="n">
        <v>0</v>
      </c>
      <c r="AO769" t="n">
        <v>0</v>
      </c>
      <c r="AP769" t="n">
        <v>0</v>
      </c>
      <c r="AQ769" t="n">
        <v>0</v>
      </c>
      <c r="AR769" t="inlineStr">
        <is>
          <t>No</t>
        </is>
      </c>
      <c r="AS769" t="inlineStr">
        <is>
          <t>No</t>
        </is>
      </c>
      <c r="AU769">
        <f>HYPERLINK("https://creighton-primo.hosted.exlibrisgroup.com/primo-explore/search?tab=default_tab&amp;search_scope=EVERYTHING&amp;vid=01CRU&amp;lang=en_US&amp;offset=0&amp;query=any,contains,991005417769702656","Catalog Record")</f>
        <v/>
      </c>
      <c r="AV769">
        <f>HYPERLINK("http://www.worldcat.org/oclc/29010346","WorldCat Record")</f>
        <v/>
      </c>
      <c r="AW769" t="inlineStr">
        <is>
          <t>4919587495:spa</t>
        </is>
      </c>
      <c r="AX769" t="inlineStr">
        <is>
          <t>29010346</t>
        </is>
      </c>
      <c r="AY769" t="inlineStr">
        <is>
          <t>991005417769702656</t>
        </is>
      </c>
      <c r="AZ769" t="inlineStr">
        <is>
          <t>991005417769702656</t>
        </is>
      </c>
      <c r="BA769" t="inlineStr">
        <is>
          <t>2263934720002656</t>
        </is>
      </c>
      <c r="BB769" t="inlineStr">
        <is>
          <t>BOOK</t>
        </is>
      </c>
      <c r="BE769" t="inlineStr">
        <is>
          <t>32285002095791</t>
        </is>
      </c>
      <c r="BF769" t="inlineStr">
        <is>
          <t>893536642</t>
        </is>
      </c>
    </row>
    <row r="770">
      <c r="A770" t="inlineStr">
        <is>
          <t>No</t>
        </is>
      </c>
      <c r="B770" t="inlineStr">
        <is>
          <t>CURAL</t>
        </is>
      </c>
      <c r="C770" t="inlineStr">
        <is>
          <t>SHELVES</t>
        </is>
      </c>
      <c r="D770" t="inlineStr">
        <is>
          <t>PQ7081 .I34 1986</t>
        </is>
      </c>
      <c r="E770" t="inlineStr">
        <is>
          <t>0                      PQ 7081000I  34          1986</t>
        </is>
      </c>
      <c r="F770" t="inlineStr">
        <is>
          <t>Identidad cultural de Iberoamérica en su literatura / coordinator, Saúl Yurkiévich.</t>
        </is>
      </c>
      <c r="H770" t="inlineStr">
        <is>
          <t>No</t>
        </is>
      </c>
      <c r="I770" t="inlineStr">
        <is>
          <t>1</t>
        </is>
      </c>
      <c r="J770" t="inlineStr">
        <is>
          <t>No</t>
        </is>
      </c>
      <c r="K770" t="inlineStr">
        <is>
          <t>No</t>
        </is>
      </c>
      <c r="L770" t="inlineStr">
        <is>
          <t>0</t>
        </is>
      </c>
      <c r="N770" t="inlineStr">
        <is>
          <t>Madrid : Alhambra, 1986.</t>
        </is>
      </c>
      <c r="O770" t="inlineStr">
        <is>
          <t>1986</t>
        </is>
      </c>
      <c r="P770" t="inlineStr">
        <is>
          <t>1a ed.</t>
        </is>
      </c>
      <c r="Q770" t="inlineStr">
        <is>
          <t>spa</t>
        </is>
      </c>
      <c r="R770" t="inlineStr">
        <is>
          <t xml:space="preserve">sp </t>
        </is>
      </c>
      <c r="S770" t="inlineStr">
        <is>
          <t>Humanidades</t>
        </is>
      </c>
      <c r="T770" t="inlineStr">
        <is>
          <t xml:space="preserve">PQ </t>
        </is>
      </c>
      <c r="U770" t="n">
        <v>2</v>
      </c>
      <c r="V770" t="n">
        <v>2</v>
      </c>
      <c r="W770" t="inlineStr">
        <is>
          <t>1995-08-21</t>
        </is>
      </c>
      <c r="X770" t="inlineStr">
        <is>
          <t>1995-08-21</t>
        </is>
      </c>
      <c r="Y770" t="inlineStr">
        <is>
          <t>1995-08-17</t>
        </is>
      </c>
      <c r="Z770" t="inlineStr">
        <is>
          <t>1995-08-17</t>
        </is>
      </c>
      <c r="AA770" t="n">
        <v>224</v>
      </c>
      <c r="AB770" t="n">
        <v>159</v>
      </c>
      <c r="AC770" t="n">
        <v>166</v>
      </c>
      <c r="AD770" t="n">
        <v>1</v>
      </c>
      <c r="AE770" t="n">
        <v>1</v>
      </c>
      <c r="AF770" t="n">
        <v>11</v>
      </c>
      <c r="AG770" t="n">
        <v>11</v>
      </c>
      <c r="AH770" t="n">
        <v>3</v>
      </c>
      <c r="AI770" t="n">
        <v>3</v>
      </c>
      <c r="AJ770" t="n">
        <v>5</v>
      </c>
      <c r="AK770" t="n">
        <v>5</v>
      </c>
      <c r="AL770" t="n">
        <v>6</v>
      </c>
      <c r="AM770" t="n">
        <v>6</v>
      </c>
      <c r="AN770" t="n">
        <v>0</v>
      </c>
      <c r="AO770" t="n">
        <v>0</v>
      </c>
      <c r="AP770" t="n">
        <v>0</v>
      </c>
      <c r="AQ770" t="n">
        <v>0</v>
      </c>
      <c r="AR770" t="inlineStr">
        <is>
          <t>No</t>
        </is>
      </c>
      <c r="AS770" t="inlineStr">
        <is>
          <t>Yes</t>
        </is>
      </c>
      <c r="AT770">
        <f>HYPERLINK("http://catalog.hathitrust.org/Record/000869351","HathiTrust Record")</f>
        <v/>
      </c>
      <c r="AU770">
        <f>HYPERLINK("https://creighton-primo.hosted.exlibrisgroup.com/primo-explore/search?tab=default_tab&amp;search_scope=EVERYTHING&amp;vid=01CRU&amp;lang=en_US&amp;offset=0&amp;query=any,contains,991001127879702656","Catalog Record")</f>
        <v/>
      </c>
      <c r="AV770">
        <f>HYPERLINK("http://www.worldcat.org/oclc/16665396","WorldCat Record")</f>
        <v/>
      </c>
      <c r="AW770" t="inlineStr">
        <is>
          <t>12210821:spa</t>
        </is>
      </c>
      <c r="AX770" t="inlineStr">
        <is>
          <t>16665396</t>
        </is>
      </c>
      <c r="AY770" t="inlineStr">
        <is>
          <t>991001127879702656</t>
        </is>
      </c>
      <c r="AZ770" t="inlineStr">
        <is>
          <t>991001127879702656</t>
        </is>
      </c>
      <c r="BA770" t="inlineStr">
        <is>
          <t>2265050770002656</t>
        </is>
      </c>
      <c r="BB770" t="inlineStr">
        <is>
          <t>BOOK</t>
        </is>
      </c>
      <c r="BD770" t="inlineStr">
        <is>
          <t>9788420515236</t>
        </is>
      </c>
      <c r="BE770" t="inlineStr">
        <is>
          <t>32285002080363</t>
        </is>
      </c>
      <c r="BF770" t="inlineStr">
        <is>
          <t>893496839</t>
        </is>
      </c>
    </row>
    <row r="771">
      <c r="A771" t="inlineStr">
        <is>
          <t>No</t>
        </is>
      </c>
      <c r="B771" t="inlineStr">
        <is>
          <t>CURAL</t>
        </is>
      </c>
      <c r="C771" t="inlineStr">
        <is>
          <t>SHELVES</t>
        </is>
      </c>
      <c r="D771" t="inlineStr">
        <is>
          <t>PQ7081 .L39 1981</t>
        </is>
      </c>
      <c r="E771" t="inlineStr">
        <is>
          <t>0                      PQ 7081000L  39          1981</t>
        </is>
      </c>
      <c r="F771" t="inlineStr">
        <is>
          <t>Historia de la literatura hispanoamericana, el siglo XIX (1780-1914) / Raimundo Lazo.</t>
        </is>
      </c>
      <c r="H771" t="inlineStr">
        <is>
          <t>No</t>
        </is>
      </c>
      <c r="I771" t="inlineStr">
        <is>
          <t>1</t>
        </is>
      </c>
      <c r="J771" t="inlineStr">
        <is>
          <t>No</t>
        </is>
      </c>
      <c r="K771" t="inlineStr">
        <is>
          <t>No</t>
        </is>
      </c>
      <c r="L771" t="inlineStr">
        <is>
          <t>0</t>
        </is>
      </c>
      <c r="M771" t="inlineStr">
        <is>
          <t>Lazo, Raimundo, 1904-1976.</t>
        </is>
      </c>
      <c r="N771" t="inlineStr">
        <is>
          <t>México : Editorial Porrúa, 1981.</t>
        </is>
      </c>
      <c r="O771" t="inlineStr">
        <is>
          <t>1981</t>
        </is>
      </c>
      <c r="P771" t="inlineStr">
        <is>
          <t>4a ed.</t>
        </is>
      </c>
      <c r="Q771" t="inlineStr">
        <is>
          <t>spa</t>
        </is>
      </c>
      <c r="R771" t="inlineStr">
        <is>
          <t xml:space="preserve">mx </t>
        </is>
      </c>
      <c r="S771" t="inlineStr">
        <is>
          <t>"Sepan cuantos--" ; no. 65</t>
        </is>
      </c>
      <c r="T771" t="inlineStr">
        <is>
          <t xml:space="preserve">PQ </t>
        </is>
      </c>
      <c r="U771" t="n">
        <v>2</v>
      </c>
      <c r="V771" t="n">
        <v>2</v>
      </c>
      <c r="W771" t="inlineStr">
        <is>
          <t>1995-08-21</t>
        </is>
      </c>
      <c r="X771" t="inlineStr">
        <is>
          <t>1995-08-21</t>
        </is>
      </c>
      <c r="Y771" t="inlineStr">
        <is>
          <t>1995-08-17</t>
        </is>
      </c>
      <c r="Z771" t="inlineStr">
        <is>
          <t>1995-08-17</t>
        </is>
      </c>
      <c r="AA771" t="n">
        <v>27</v>
      </c>
      <c r="AB771" t="n">
        <v>20</v>
      </c>
      <c r="AC771" t="n">
        <v>261</v>
      </c>
      <c r="AD771" t="n">
        <v>2</v>
      </c>
      <c r="AE771" t="n">
        <v>4</v>
      </c>
      <c r="AF771" t="n">
        <v>1</v>
      </c>
      <c r="AG771" t="n">
        <v>14</v>
      </c>
      <c r="AH771" t="n">
        <v>0</v>
      </c>
      <c r="AI771" t="n">
        <v>2</v>
      </c>
      <c r="AJ771" t="n">
        <v>0</v>
      </c>
      <c r="AK771" t="n">
        <v>5</v>
      </c>
      <c r="AL771" t="n">
        <v>0</v>
      </c>
      <c r="AM771" t="n">
        <v>7</v>
      </c>
      <c r="AN771" t="n">
        <v>1</v>
      </c>
      <c r="AO771" t="n">
        <v>3</v>
      </c>
      <c r="AP771" t="n">
        <v>0</v>
      </c>
      <c r="AQ771" t="n">
        <v>0</v>
      </c>
      <c r="AR771" t="inlineStr">
        <is>
          <t>No</t>
        </is>
      </c>
      <c r="AS771" t="inlineStr">
        <is>
          <t>Yes</t>
        </is>
      </c>
      <c r="AT771">
        <f>HYPERLINK("http://catalog.hathitrust.org/Record/007103884","HathiTrust Record")</f>
        <v/>
      </c>
      <c r="AU771">
        <f>HYPERLINK("https://creighton-primo.hosted.exlibrisgroup.com/primo-explore/search?tab=default_tab&amp;search_scope=EVERYTHING&amp;vid=01CRU&amp;lang=en_US&amp;offset=0&amp;query=any,contains,991000193789702656","Catalog Record")</f>
        <v/>
      </c>
      <c r="AV771">
        <f>HYPERLINK("http://www.worldcat.org/oclc/9427040","WorldCat Record")</f>
        <v/>
      </c>
      <c r="AW771" t="inlineStr">
        <is>
          <t>10200603618:spa</t>
        </is>
      </c>
      <c r="AX771" t="inlineStr">
        <is>
          <t>9427040</t>
        </is>
      </c>
      <c r="AY771" t="inlineStr">
        <is>
          <t>991000193789702656</t>
        </is>
      </c>
      <c r="AZ771" t="inlineStr">
        <is>
          <t>991000193789702656</t>
        </is>
      </c>
      <c r="BA771" t="inlineStr">
        <is>
          <t>2260800300002656</t>
        </is>
      </c>
      <c r="BB771" t="inlineStr">
        <is>
          <t>BOOK</t>
        </is>
      </c>
      <c r="BD771" t="inlineStr">
        <is>
          <t>9789684326736</t>
        </is>
      </c>
      <c r="BE771" t="inlineStr">
        <is>
          <t>32285002080355</t>
        </is>
      </c>
      <c r="BF771" t="inlineStr">
        <is>
          <t>893701919</t>
        </is>
      </c>
    </row>
    <row r="772">
      <c r="A772" t="inlineStr">
        <is>
          <t>No</t>
        </is>
      </c>
      <c r="B772" t="inlineStr">
        <is>
          <t>CURAL</t>
        </is>
      </c>
      <c r="C772" t="inlineStr">
        <is>
          <t>SHELVES</t>
        </is>
      </c>
      <c r="D772" t="inlineStr">
        <is>
          <t>PQ7081 .L4 1979</t>
        </is>
      </c>
      <c r="E772" t="inlineStr">
        <is>
          <t>0                      PQ 7081000L  4           1979</t>
        </is>
      </c>
      <c r="F772" t="inlineStr">
        <is>
          <t>El romanticismo : fijación sicológico-social de su concepto; lo romántico en la lírica hispano-americana, del siglo XVI á 1970 / Raimundo Lazo.</t>
        </is>
      </c>
      <c r="H772" t="inlineStr">
        <is>
          <t>No</t>
        </is>
      </c>
      <c r="I772" t="inlineStr">
        <is>
          <t>1</t>
        </is>
      </c>
      <c r="J772" t="inlineStr">
        <is>
          <t>No</t>
        </is>
      </c>
      <c r="K772" t="inlineStr">
        <is>
          <t>No</t>
        </is>
      </c>
      <c r="L772" t="inlineStr">
        <is>
          <t>0</t>
        </is>
      </c>
      <c r="M772" t="inlineStr">
        <is>
          <t>Lazo, Raimundo, 1904-1976.</t>
        </is>
      </c>
      <c r="N772" t="inlineStr">
        <is>
          <t>México : Editorial Porrúa, 1979.</t>
        </is>
      </c>
      <c r="O772" t="inlineStr">
        <is>
          <t>1979</t>
        </is>
      </c>
      <c r="P772" t="inlineStr">
        <is>
          <t>2. ed.</t>
        </is>
      </c>
      <c r="Q772" t="inlineStr">
        <is>
          <t>spa</t>
        </is>
      </c>
      <c r="R772" t="inlineStr">
        <is>
          <t xml:space="preserve">mx </t>
        </is>
      </c>
      <c r="S772" t="inlineStr">
        <is>
          <t>"Sepan cuantos--" ; no. 184</t>
        </is>
      </c>
      <c r="T772" t="inlineStr">
        <is>
          <t xml:space="preserve">PQ </t>
        </is>
      </c>
      <c r="U772" t="n">
        <v>2</v>
      </c>
      <c r="V772" t="n">
        <v>2</v>
      </c>
      <c r="W772" t="inlineStr">
        <is>
          <t>1995-08-21</t>
        </is>
      </c>
      <c r="X772" t="inlineStr">
        <is>
          <t>1995-08-21</t>
        </is>
      </c>
      <c r="Y772" t="inlineStr">
        <is>
          <t>1995-08-17</t>
        </is>
      </c>
      <c r="Z772" t="inlineStr">
        <is>
          <t>1995-08-17</t>
        </is>
      </c>
      <c r="AA772" t="n">
        <v>73</v>
      </c>
      <c r="AB772" t="n">
        <v>63</v>
      </c>
      <c r="AC772" t="n">
        <v>193</v>
      </c>
      <c r="AD772" t="n">
        <v>2</v>
      </c>
      <c r="AE772" t="n">
        <v>2</v>
      </c>
      <c r="AF772" t="n">
        <v>4</v>
      </c>
      <c r="AG772" t="n">
        <v>11</v>
      </c>
      <c r="AH772" t="n">
        <v>1</v>
      </c>
      <c r="AI772" t="n">
        <v>2</v>
      </c>
      <c r="AJ772" t="n">
        <v>2</v>
      </c>
      <c r="AK772" t="n">
        <v>5</v>
      </c>
      <c r="AL772" t="n">
        <v>1</v>
      </c>
      <c r="AM772" t="n">
        <v>5</v>
      </c>
      <c r="AN772" t="n">
        <v>1</v>
      </c>
      <c r="AO772" t="n">
        <v>1</v>
      </c>
      <c r="AP772" t="n">
        <v>0</v>
      </c>
      <c r="AQ772" t="n">
        <v>0</v>
      </c>
      <c r="AR772" t="inlineStr">
        <is>
          <t>No</t>
        </is>
      </c>
      <c r="AS772" t="inlineStr">
        <is>
          <t>Yes</t>
        </is>
      </c>
      <c r="AT772">
        <f>HYPERLINK("http://catalog.hathitrust.org/Record/000127935","HathiTrust Record")</f>
        <v/>
      </c>
      <c r="AU772">
        <f>HYPERLINK("https://creighton-primo.hosted.exlibrisgroup.com/primo-explore/search?tab=default_tab&amp;search_scope=EVERYTHING&amp;vid=01CRU&amp;lang=en_US&amp;offset=0&amp;query=any,contains,991005071579702656","Catalog Record")</f>
        <v/>
      </c>
      <c r="AV772">
        <f>HYPERLINK("http://www.worldcat.org/oclc/7032928","WorldCat Record")</f>
        <v/>
      </c>
      <c r="AW772" t="inlineStr">
        <is>
          <t>366082770:spa</t>
        </is>
      </c>
      <c r="AX772" t="inlineStr">
        <is>
          <t>7032928</t>
        </is>
      </c>
      <c r="AY772" t="inlineStr">
        <is>
          <t>991005071579702656</t>
        </is>
      </c>
      <c r="AZ772" t="inlineStr">
        <is>
          <t>991005071579702656</t>
        </is>
      </c>
      <c r="BA772" t="inlineStr">
        <is>
          <t>2257875230002656</t>
        </is>
      </c>
      <c r="BB772" t="inlineStr">
        <is>
          <t>BOOK</t>
        </is>
      </c>
      <c r="BD772" t="inlineStr">
        <is>
          <t>9789684323674</t>
        </is>
      </c>
      <c r="BE772" t="inlineStr">
        <is>
          <t>32285002080348</t>
        </is>
      </c>
      <c r="BF772" t="inlineStr">
        <is>
          <t>893513985</t>
        </is>
      </c>
    </row>
    <row r="773">
      <c r="A773" t="inlineStr">
        <is>
          <t>No</t>
        </is>
      </c>
      <c r="B773" t="inlineStr">
        <is>
          <t>CURAL</t>
        </is>
      </c>
      <c r="C773" t="inlineStr">
        <is>
          <t>SHELVES</t>
        </is>
      </c>
      <c r="D773" t="inlineStr">
        <is>
          <t>PQ7081 .L44 1986</t>
        </is>
      </c>
      <c r="E773" t="inlineStr">
        <is>
          <t>0                      PQ 7081000L  44          1986</t>
        </is>
      </c>
      <c r="F773" t="inlineStr">
        <is>
          <t>Texturas : ensayos de crítica literaria / Monique J. Lemaître.</t>
        </is>
      </c>
      <c r="H773" t="inlineStr">
        <is>
          <t>No</t>
        </is>
      </c>
      <c r="I773" t="inlineStr">
        <is>
          <t>1</t>
        </is>
      </c>
      <c r="J773" t="inlineStr">
        <is>
          <t>No</t>
        </is>
      </c>
      <c r="K773" t="inlineStr">
        <is>
          <t>No</t>
        </is>
      </c>
      <c r="L773" t="inlineStr">
        <is>
          <t>0</t>
        </is>
      </c>
      <c r="M773" t="inlineStr">
        <is>
          <t>Lemaître, Monique J.</t>
        </is>
      </c>
      <c r="N773" t="inlineStr">
        <is>
          <t>México, D.F. : Editorial Oasis, 1986.</t>
        </is>
      </c>
      <c r="O773" t="inlineStr">
        <is>
          <t>1986</t>
        </is>
      </c>
      <c r="P773" t="inlineStr">
        <is>
          <t>1a ed.</t>
        </is>
      </c>
      <c r="Q773" t="inlineStr">
        <is>
          <t>spa</t>
        </is>
      </c>
      <c r="R773" t="inlineStr">
        <is>
          <t xml:space="preserve">mx </t>
        </is>
      </c>
      <c r="S773" t="inlineStr">
        <is>
          <t>Colección Alfonso Reyes ; no. 8</t>
        </is>
      </c>
      <c r="T773" t="inlineStr">
        <is>
          <t xml:space="preserve">PQ </t>
        </is>
      </c>
      <c r="U773" t="n">
        <v>2</v>
      </c>
      <c r="V773" t="n">
        <v>2</v>
      </c>
      <c r="W773" t="inlineStr">
        <is>
          <t>1999-02-08</t>
        </is>
      </c>
      <c r="X773" t="inlineStr">
        <is>
          <t>1999-02-08</t>
        </is>
      </c>
      <c r="Y773" t="inlineStr">
        <is>
          <t>1996-06-18</t>
        </is>
      </c>
      <c r="Z773" t="inlineStr">
        <is>
          <t>1996-06-18</t>
        </is>
      </c>
      <c r="AA773" t="n">
        <v>191</v>
      </c>
      <c r="AB773" t="n">
        <v>175</v>
      </c>
      <c r="AC773" t="n">
        <v>177</v>
      </c>
      <c r="AD773" t="n">
        <v>2</v>
      </c>
      <c r="AE773" t="n">
        <v>2</v>
      </c>
      <c r="AF773" t="n">
        <v>15</v>
      </c>
      <c r="AG773" t="n">
        <v>15</v>
      </c>
      <c r="AH773" t="n">
        <v>4</v>
      </c>
      <c r="AI773" t="n">
        <v>4</v>
      </c>
      <c r="AJ773" t="n">
        <v>5</v>
      </c>
      <c r="AK773" t="n">
        <v>5</v>
      </c>
      <c r="AL773" t="n">
        <v>9</v>
      </c>
      <c r="AM773" t="n">
        <v>9</v>
      </c>
      <c r="AN773" t="n">
        <v>1</v>
      </c>
      <c r="AO773" t="n">
        <v>1</v>
      </c>
      <c r="AP773" t="n">
        <v>0</v>
      </c>
      <c r="AQ773" t="n">
        <v>0</v>
      </c>
      <c r="AR773" t="inlineStr">
        <is>
          <t>No</t>
        </is>
      </c>
      <c r="AS773" t="inlineStr">
        <is>
          <t>Yes</t>
        </is>
      </c>
      <c r="AT773">
        <f>HYPERLINK("http://catalog.hathitrust.org/Record/000855579","HathiTrust Record")</f>
        <v/>
      </c>
      <c r="AU773">
        <f>HYPERLINK("https://creighton-primo.hosted.exlibrisgroup.com/primo-explore/search?tab=default_tab&amp;search_scope=EVERYTHING&amp;vid=01CRU&amp;lang=en_US&amp;offset=0&amp;query=any,contains,991001005869702656","Catalog Record")</f>
        <v/>
      </c>
      <c r="AV773">
        <f>HYPERLINK("http://www.worldcat.org/oclc/15238761","WorldCat Record")</f>
        <v/>
      </c>
      <c r="AW773" t="inlineStr">
        <is>
          <t>320794357:spa</t>
        </is>
      </c>
      <c r="AX773" t="inlineStr">
        <is>
          <t>15238761</t>
        </is>
      </c>
      <c r="AY773" t="inlineStr">
        <is>
          <t>991001005869702656</t>
        </is>
      </c>
      <c r="AZ773" t="inlineStr">
        <is>
          <t>991001005869702656</t>
        </is>
      </c>
      <c r="BA773" t="inlineStr">
        <is>
          <t>2264719400002656</t>
        </is>
      </c>
      <c r="BB773" t="inlineStr">
        <is>
          <t>BOOK</t>
        </is>
      </c>
      <c r="BD773" t="inlineStr">
        <is>
          <t>9789688730157</t>
        </is>
      </c>
      <c r="BE773" t="inlineStr">
        <is>
          <t>32285002194164</t>
        </is>
      </c>
      <c r="BF773" t="inlineStr">
        <is>
          <t>893791075</t>
        </is>
      </c>
    </row>
    <row r="774">
      <c r="A774" t="inlineStr">
        <is>
          <t>No</t>
        </is>
      </c>
      <c r="B774" t="inlineStr">
        <is>
          <t>CURAL</t>
        </is>
      </c>
      <c r="C774" t="inlineStr">
        <is>
          <t>SHELVES</t>
        </is>
      </c>
      <c r="D774" t="inlineStr">
        <is>
          <t>PQ7081 .M28 1991</t>
        </is>
      </c>
      <c r="E774" t="inlineStr">
        <is>
          <t>0                      PQ 7081000M  28          1991</t>
        </is>
      </c>
      <c r="F774" t="inlineStr">
        <is>
          <t>Manual de literatura hispanoamericana / Felipe B. Pedraza Jiménez, coordinador.</t>
        </is>
      </c>
      <c r="G774" t="inlineStr">
        <is>
          <t>V. 1</t>
        </is>
      </c>
      <c r="H774" t="inlineStr">
        <is>
          <t>Yes</t>
        </is>
      </c>
      <c r="I774" t="inlineStr">
        <is>
          <t>1</t>
        </is>
      </c>
      <c r="J774" t="inlineStr">
        <is>
          <t>No</t>
        </is>
      </c>
      <c r="K774" t="inlineStr">
        <is>
          <t>No</t>
        </is>
      </c>
      <c r="L774" t="inlineStr">
        <is>
          <t>0</t>
        </is>
      </c>
      <c r="N774" t="inlineStr">
        <is>
          <t>Berriozar, Navarra [Spain] : Cénlit Ediciones, 1991-</t>
        </is>
      </c>
      <c r="O774" t="inlineStr">
        <is>
          <t>1991</t>
        </is>
      </c>
      <c r="Q774" t="inlineStr">
        <is>
          <t>spa</t>
        </is>
      </c>
      <c r="R774" t="inlineStr">
        <is>
          <t xml:space="preserve">sp </t>
        </is>
      </c>
      <c r="T774" t="inlineStr">
        <is>
          <t xml:space="preserve">PQ </t>
        </is>
      </c>
      <c r="U774" t="n">
        <v>1</v>
      </c>
      <c r="V774" t="n">
        <v>2</v>
      </c>
      <c r="W774" t="inlineStr">
        <is>
          <t>2002-02-24</t>
        </is>
      </c>
      <c r="X774" t="inlineStr">
        <is>
          <t>2004-03-25</t>
        </is>
      </c>
      <c r="Y774" t="inlineStr">
        <is>
          <t>1995-05-03</t>
        </is>
      </c>
      <c r="Z774" t="inlineStr">
        <is>
          <t>2004-05-05</t>
        </is>
      </c>
      <c r="AA774" t="n">
        <v>193</v>
      </c>
      <c r="AB774" t="n">
        <v>152</v>
      </c>
      <c r="AC774" t="n">
        <v>155</v>
      </c>
      <c r="AD774" t="n">
        <v>2</v>
      </c>
      <c r="AE774" t="n">
        <v>2</v>
      </c>
      <c r="AF774" t="n">
        <v>10</v>
      </c>
      <c r="AG774" t="n">
        <v>10</v>
      </c>
      <c r="AH774" t="n">
        <v>1</v>
      </c>
      <c r="AI774" t="n">
        <v>1</v>
      </c>
      <c r="AJ774" t="n">
        <v>4</v>
      </c>
      <c r="AK774" t="n">
        <v>4</v>
      </c>
      <c r="AL774" t="n">
        <v>7</v>
      </c>
      <c r="AM774" t="n">
        <v>7</v>
      </c>
      <c r="AN774" t="n">
        <v>1</v>
      </c>
      <c r="AO774" t="n">
        <v>1</v>
      </c>
      <c r="AP774" t="n">
        <v>0</v>
      </c>
      <c r="AQ774" t="n">
        <v>0</v>
      </c>
      <c r="AR774" t="inlineStr">
        <is>
          <t>No</t>
        </is>
      </c>
      <c r="AS774" t="inlineStr">
        <is>
          <t>Yes</t>
        </is>
      </c>
      <c r="AT774">
        <f>HYPERLINK("http://catalog.hathitrust.org/Record/002700686","HathiTrust Record")</f>
        <v/>
      </c>
      <c r="AU774">
        <f>HYPERLINK("https://creighton-primo.hosted.exlibrisgroup.com/primo-explore/search?tab=default_tab&amp;search_scope=EVERYTHING&amp;vid=01CRU&amp;lang=en_US&amp;offset=0&amp;query=any,contains,991002095189702656","Catalog Record")</f>
        <v/>
      </c>
      <c r="AV774">
        <f>HYPERLINK("http://www.worldcat.org/oclc/26857766","WorldCat Record")</f>
        <v/>
      </c>
      <c r="AW774" t="inlineStr">
        <is>
          <t>5090566409:spa</t>
        </is>
      </c>
      <c r="AX774" t="inlineStr">
        <is>
          <t>26857766</t>
        </is>
      </c>
      <c r="AY774" t="inlineStr">
        <is>
          <t>991002095189702656</t>
        </is>
      </c>
      <c r="AZ774" t="inlineStr">
        <is>
          <t>991002095189702656</t>
        </is>
      </c>
      <c r="BA774" t="inlineStr">
        <is>
          <t>2266623650002656</t>
        </is>
      </c>
      <c r="BB774" t="inlineStr">
        <is>
          <t>BOOK</t>
        </is>
      </c>
      <c r="BD774" t="inlineStr">
        <is>
          <t>9788485511242</t>
        </is>
      </c>
      <c r="BE774" t="inlineStr">
        <is>
          <t>32285002037447</t>
        </is>
      </c>
      <c r="BF774" t="inlineStr">
        <is>
          <t>893798172</t>
        </is>
      </c>
    </row>
    <row r="775">
      <c r="A775" t="inlineStr">
        <is>
          <t>No</t>
        </is>
      </c>
      <c r="B775" t="inlineStr">
        <is>
          <t>CURAL</t>
        </is>
      </c>
      <c r="C775" t="inlineStr">
        <is>
          <t>SHELVES</t>
        </is>
      </c>
      <c r="D775" t="inlineStr">
        <is>
          <t>PQ7081 .M28 1991</t>
        </is>
      </c>
      <c r="E775" t="inlineStr">
        <is>
          <t>0                      PQ 7081000M  28          1991</t>
        </is>
      </c>
      <c r="F775" t="inlineStr">
        <is>
          <t>Manual de literatura hispanoamericana / Felipe B. Pedraza Jiménez, coordinador.</t>
        </is>
      </c>
      <c r="H775" t="inlineStr">
        <is>
          <t>Yes</t>
        </is>
      </c>
      <c r="I775" t="inlineStr">
        <is>
          <t>1</t>
        </is>
      </c>
      <c r="J775" t="inlineStr">
        <is>
          <t>Yes</t>
        </is>
      </c>
      <c r="K775" t="inlineStr">
        <is>
          <t>No</t>
        </is>
      </c>
      <c r="L775" t="inlineStr">
        <is>
          <t>0</t>
        </is>
      </c>
      <c r="N775" t="inlineStr">
        <is>
          <t>Berriozar, Navarra [Spain] : Cénlit Ediciones, 1991-</t>
        </is>
      </c>
      <c r="O775" t="inlineStr">
        <is>
          <t>1991</t>
        </is>
      </c>
      <c r="Q775" t="inlineStr">
        <is>
          <t>spa</t>
        </is>
      </c>
      <c r="R775" t="inlineStr">
        <is>
          <t xml:space="preserve">sp </t>
        </is>
      </c>
      <c r="T775" t="inlineStr">
        <is>
          <t xml:space="preserve">PQ </t>
        </is>
      </c>
      <c r="U775" t="n">
        <v>0</v>
      </c>
      <c r="V775" t="n">
        <v>2</v>
      </c>
      <c r="X775" t="inlineStr">
        <is>
          <t>2004-03-25</t>
        </is>
      </c>
      <c r="Y775" t="inlineStr">
        <is>
          <t>2004-03-17</t>
        </is>
      </c>
      <c r="Z775" t="inlineStr">
        <is>
          <t>2004-05-05</t>
        </is>
      </c>
      <c r="AA775" t="n">
        <v>193</v>
      </c>
      <c r="AB775" t="n">
        <v>152</v>
      </c>
      <c r="AC775" t="n">
        <v>155</v>
      </c>
      <c r="AD775" t="n">
        <v>2</v>
      </c>
      <c r="AE775" t="n">
        <v>2</v>
      </c>
      <c r="AF775" t="n">
        <v>10</v>
      </c>
      <c r="AG775" t="n">
        <v>10</v>
      </c>
      <c r="AH775" t="n">
        <v>1</v>
      </c>
      <c r="AI775" t="n">
        <v>1</v>
      </c>
      <c r="AJ775" t="n">
        <v>4</v>
      </c>
      <c r="AK775" t="n">
        <v>4</v>
      </c>
      <c r="AL775" t="n">
        <v>7</v>
      </c>
      <c r="AM775" t="n">
        <v>7</v>
      </c>
      <c r="AN775" t="n">
        <v>1</v>
      </c>
      <c r="AO775" t="n">
        <v>1</v>
      </c>
      <c r="AP775" t="n">
        <v>0</v>
      </c>
      <c r="AQ775" t="n">
        <v>0</v>
      </c>
      <c r="AR775" t="inlineStr">
        <is>
          <t>No</t>
        </is>
      </c>
      <c r="AS775" t="inlineStr">
        <is>
          <t>Yes</t>
        </is>
      </c>
      <c r="AT775">
        <f>HYPERLINK("http://catalog.hathitrust.org/Record/002700686","HathiTrust Record")</f>
        <v/>
      </c>
      <c r="AU775">
        <f>HYPERLINK("https://creighton-primo.hosted.exlibrisgroup.com/primo-explore/search?tab=default_tab&amp;search_scope=EVERYTHING&amp;vid=01CRU&amp;lang=en_US&amp;offset=0&amp;query=any,contains,991002095189702656","Catalog Record")</f>
        <v/>
      </c>
      <c r="AV775">
        <f>HYPERLINK("http://www.worldcat.org/oclc/26857766","WorldCat Record")</f>
        <v/>
      </c>
      <c r="AW775" t="inlineStr">
        <is>
          <t>5090566409:spa</t>
        </is>
      </c>
      <c r="AX775" t="inlineStr">
        <is>
          <t>26857766</t>
        </is>
      </c>
      <c r="AY775" t="inlineStr">
        <is>
          <t>991002095189702656</t>
        </is>
      </c>
      <c r="AZ775" t="inlineStr">
        <is>
          <t>991002095189702656</t>
        </is>
      </c>
      <c r="BA775" t="inlineStr">
        <is>
          <t>2266623650002656</t>
        </is>
      </c>
      <c r="BB775" t="inlineStr">
        <is>
          <t>BOOK</t>
        </is>
      </c>
      <c r="BD775" t="inlineStr">
        <is>
          <t>9788485511242</t>
        </is>
      </c>
      <c r="BE775" t="inlineStr">
        <is>
          <t>327932-3001</t>
        </is>
      </c>
      <c r="BF775" t="inlineStr">
        <is>
          <t>893792031</t>
        </is>
      </c>
    </row>
    <row r="776">
      <c r="A776" t="inlineStr">
        <is>
          <t>No</t>
        </is>
      </c>
      <c r="B776" t="inlineStr">
        <is>
          <t>CURAL</t>
        </is>
      </c>
      <c r="C776" t="inlineStr">
        <is>
          <t>SHELVES</t>
        </is>
      </c>
      <c r="D776" t="inlineStr">
        <is>
          <t>PQ7081 .M28 1991</t>
        </is>
      </c>
      <c r="E776" t="inlineStr">
        <is>
          <t>0                      PQ 7081000M  28          1991</t>
        </is>
      </c>
      <c r="F776" t="inlineStr">
        <is>
          <t>Manual de literatura hispanoamericana / Felipe B. Pedraza Jiménez, coordinador.</t>
        </is>
      </c>
      <c r="G776" t="inlineStr">
        <is>
          <t>V. 2</t>
        </is>
      </c>
      <c r="H776" t="inlineStr">
        <is>
          <t>Yes</t>
        </is>
      </c>
      <c r="I776" t="inlineStr">
        <is>
          <t>1</t>
        </is>
      </c>
      <c r="J776" t="inlineStr">
        <is>
          <t>No</t>
        </is>
      </c>
      <c r="K776" t="inlineStr">
        <is>
          <t>No</t>
        </is>
      </c>
      <c r="L776" t="inlineStr">
        <is>
          <t>0</t>
        </is>
      </c>
      <c r="N776" t="inlineStr">
        <is>
          <t>Berriozar, Navarra [Spain] : Cénlit Ediciones, 1991-</t>
        </is>
      </c>
      <c r="O776" t="inlineStr">
        <is>
          <t>1991</t>
        </is>
      </c>
      <c r="Q776" t="inlineStr">
        <is>
          <t>spa</t>
        </is>
      </c>
      <c r="R776" t="inlineStr">
        <is>
          <t xml:space="preserve">sp </t>
        </is>
      </c>
      <c r="T776" t="inlineStr">
        <is>
          <t xml:space="preserve">PQ </t>
        </is>
      </c>
      <c r="U776" t="n">
        <v>0</v>
      </c>
      <c r="V776" t="n">
        <v>2</v>
      </c>
      <c r="X776" t="inlineStr">
        <is>
          <t>2004-03-25</t>
        </is>
      </c>
      <c r="Y776" t="inlineStr">
        <is>
          <t>1995-05-03</t>
        </is>
      </c>
      <c r="Z776" t="inlineStr">
        <is>
          <t>2004-05-05</t>
        </is>
      </c>
      <c r="AA776" t="n">
        <v>193</v>
      </c>
      <c r="AB776" t="n">
        <v>152</v>
      </c>
      <c r="AC776" t="n">
        <v>155</v>
      </c>
      <c r="AD776" t="n">
        <v>2</v>
      </c>
      <c r="AE776" t="n">
        <v>2</v>
      </c>
      <c r="AF776" t="n">
        <v>10</v>
      </c>
      <c r="AG776" t="n">
        <v>10</v>
      </c>
      <c r="AH776" t="n">
        <v>1</v>
      </c>
      <c r="AI776" t="n">
        <v>1</v>
      </c>
      <c r="AJ776" t="n">
        <v>4</v>
      </c>
      <c r="AK776" t="n">
        <v>4</v>
      </c>
      <c r="AL776" t="n">
        <v>7</v>
      </c>
      <c r="AM776" t="n">
        <v>7</v>
      </c>
      <c r="AN776" t="n">
        <v>1</v>
      </c>
      <c r="AO776" t="n">
        <v>1</v>
      </c>
      <c r="AP776" t="n">
        <v>0</v>
      </c>
      <c r="AQ776" t="n">
        <v>0</v>
      </c>
      <c r="AR776" t="inlineStr">
        <is>
          <t>No</t>
        </is>
      </c>
      <c r="AS776" t="inlineStr">
        <is>
          <t>Yes</t>
        </is>
      </c>
      <c r="AT776">
        <f>HYPERLINK("http://catalog.hathitrust.org/Record/002700686","HathiTrust Record")</f>
        <v/>
      </c>
      <c r="AU776">
        <f>HYPERLINK("https://creighton-primo.hosted.exlibrisgroup.com/primo-explore/search?tab=default_tab&amp;search_scope=EVERYTHING&amp;vid=01CRU&amp;lang=en_US&amp;offset=0&amp;query=any,contains,991002095189702656","Catalog Record")</f>
        <v/>
      </c>
      <c r="AV776">
        <f>HYPERLINK("http://www.worldcat.org/oclc/26857766","WorldCat Record")</f>
        <v/>
      </c>
      <c r="AW776" t="inlineStr">
        <is>
          <t>5090566409:spa</t>
        </is>
      </c>
      <c r="AX776" t="inlineStr">
        <is>
          <t>26857766</t>
        </is>
      </c>
      <c r="AY776" t="inlineStr">
        <is>
          <t>991002095189702656</t>
        </is>
      </c>
      <c r="AZ776" t="inlineStr">
        <is>
          <t>991002095189702656</t>
        </is>
      </c>
      <c r="BA776" t="inlineStr">
        <is>
          <t>2266623650002656</t>
        </is>
      </c>
      <c r="BB776" t="inlineStr">
        <is>
          <t>BOOK</t>
        </is>
      </c>
      <c r="BD776" t="inlineStr">
        <is>
          <t>9788485511242</t>
        </is>
      </c>
      <c r="BE776" t="inlineStr">
        <is>
          <t>32285002037454</t>
        </is>
      </c>
      <c r="BF776" t="inlineStr">
        <is>
          <t>893773214</t>
        </is>
      </c>
    </row>
    <row r="777">
      <c r="A777" t="inlineStr">
        <is>
          <t>No</t>
        </is>
      </c>
      <c r="B777" t="inlineStr">
        <is>
          <t>CURAL</t>
        </is>
      </c>
      <c r="C777" t="inlineStr">
        <is>
          <t>SHELVES</t>
        </is>
      </c>
      <c r="D777" t="inlineStr">
        <is>
          <t>PQ7081 .M28 1991</t>
        </is>
      </c>
      <c r="E777" t="inlineStr">
        <is>
          <t>0                      PQ 7081000M  28          1991</t>
        </is>
      </c>
      <c r="F777" t="inlineStr">
        <is>
          <t>Manual de literatura hispanoamericana / Felipe B. Pedraza Jiménez, coordinador.</t>
        </is>
      </c>
      <c r="G777" t="inlineStr">
        <is>
          <t>V. 3</t>
        </is>
      </c>
      <c r="H777" t="inlineStr">
        <is>
          <t>Yes</t>
        </is>
      </c>
      <c r="I777" t="inlineStr">
        <is>
          <t>1</t>
        </is>
      </c>
      <c r="J777" t="inlineStr">
        <is>
          <t>No</t>
        </is>
      </c>
      <c r="K777" t="inlineStr">
        <is>
          <t>No</t>
        </is>
      </c>
      <c r="L777" t="inlineStr">
        <is>
          <t>0</t>
        </is>
      </c>
      <c r="N777" t="inlineStr">
        <is>
          <t>Berriozar, Navarra [Spain] : Cénlit Ediciones, 1991-</t>
        </is>
      </c>
      <c r="O777" t="inlineStr">
        <is>
          <t>1991</t>
        </is>
      </c>
      <c r="Q777" t="inlineStr">
        <is>
          <t>spa</t>
        </is>
      </c>
      <c r="R777" t="inlineStr">
        <is>
          <t xml:space="preserve">sp </t>
        </is>
      </c>
      <c r="T777" t="inlineStr">
        <is>
          <t xml:space="preserve">PQ </t>
        </is>
      </c>
      <c r="U777" t="n">
        <v>1</v>
      </c>
      <c r="V777" t="n">
        <v>2</v>
      </c>
      <c r="W777" t="inlineStr">
        <is>
          <t>2004-03-25</t>
        </is>
      </c>
      <c r="X777" t="inlineStr">
        <is>
          <t>2004-03-25</t>
        </is>
      </c>
      <c r="Y777" t="inlineStr">
        <is>
          <t>2004-03-25</t>
        </is>
      </c>
      <c r="Z777" t="inlineStr">
        <is>
          <t>2004-05-05</t>
        </is>
      </c>
      <c r="AA777" t="n">
        <v>193</v>
      </c>
      <c r="AB777" t="n">
        <v>152</v>
      </c>
      <c r="AC777" t="n">
        <v>155</v>
      </c>
      <c r="AD777" t="n">
        <v>2</v>
      </c>
      <c r="AE777" t="n">
        <v>2</v>
      </c>
      <c r="AF777" t="n">
        <v>10</v>
      </c>
      <c r="AG777" t="n">
        <v>10</v>
      </c>
      <c r="AH777" t="n">
        <v>1</v>
      </c>
      <c r="AI777" t="n">
        <v>1</v>
      </c>
      <c r="AJ777" t="n">
        <v>4</v>
      </c>
      <c r="AK777" t="n">
        <v>4</v>
      </c>
      <c r="AL777" t="n">
        <v>7</v>
      </c>
      <c r="AM777" t="n">
        <v>7</v>
      </c>
      <c r="AN777" t="n">
        <v>1</v>
      </c>
      <c r="AO777" t="n">
        <v>1</v>
      </c>
      <c r="AP777" t="n">
        <v>0</v>
      </c>
      <c r="AQ777" t="n">
        <v>0</v>
      </c>
      <c r="AR777" t="inlineStr">
        <is>
          <t>No</t>
        </is>
      </c>
      <c r="AS777" t="inlineStr">
        <is>
          <t>Yes</t>
        </is>
      </c>
      <c r="AT777">
        <f>HYPERLINK("http://catalog.hathitrust.org/Record/002700686","HathiTrust Record")</f>
        <v/>
      </c>
      <c r="AU777">
        <f>HYPERLINK("https://creighton-primo.hosted.exlibrisgroup.com/primo-explore/search?tab=default_tab&amp;search_scope=EVERYTHING&amp;vid=01CRU&amp;lang=en_US&amp;offset=0&amp;query=any,contains,991002095189702656","Catalog Record")</f>
        <v/>
      </c>
      <c r="AV777">
        <f>HYPERLINK("http://www.worldcat.org/oclc/26857766","WorldCat Record")</f>
        <v/>
      </c>
      <c r="AW777" t="inlineStr">
        <is>
          <t>5090566409:spa</t>
        </is>
      </c>
      <c r="AX777" t="inlineStr">
        <is>
          <t>26857766</t>
        </is>
      </c>
      <c r="AY777" t="inlineStr">
        <is>
          <t>991002095189702656</t>
        </is>
      </c>
      <c r="AZ777" t="inlineStr">
        <is>
          <t>991002095189702656</t>
        </is>
      </c>
      <c r="BA777" t="inlineStr">
        <is>
          <t>2266623650002656</t>
        </is>
      </c>
      <c r="BB777" t="inlineStr">
        <is>
          <t>BOOK</t>
        </is>
      </c>
      <c r="BD777" t="inlineStr">
        <is>
          <t>9788485511242</t>
        </is>
      </c>
      <c r="BE777" t="inlineStr">
        <is>
          <t>32285004930029</t>
        </is>
      </c>
      <c r="BF777" t="inlineStr">
        <is>
          <t>893785712</t>
        </is>
      </c>
    </row>
    <row r="778">
      <c r="A778" t="inlineStr">
        <is>
          <t>No</t>
        </is>
      </c>
      <c r="B778" t="inlineStr">
        <is>
          <t>CURAL</t>
        </is>
      </c>
      <c r="C778" t="inlineStr">
        <is>
          <t>SHELVES</t>
        </is>
      </c>
      <c r="D778" t="inlineStr">
        <is>
          <t>PQ7081 .M28 1991</t>
        </is>
      </c>
      <c r="E778" t="inlineStr">
        <is>
          <t>0                      PQ 7081000M  28          1991</t>
        </is>
      </c>
      <c r="F778" t="inlineStr">
        <is>
          <t>Manual de literatura hispanoamericana / Felipe B. Pedraza Jiménez, coordinador.</t>
        </is>
      </c>
      <c r="G778" t="inlineStr">
        <is>
          <t>V. 4</t>
        </is>
      </c>
      <c r="H778" t="inlineStr">
        <is>
          <t>Yes</t>
        </is>
      </c>
      <c r="I778" t="inlineStr">
        <is>
          <t>1</t>
        </is>
      </c>
      <c r="J778" t="inlineStr">
        <is>
          <t>No</t>
        </is>
      </c>
      <c r="K778" t="inlineStr">
        <is>
          <t>No</t>
        </is>
      </c>
      <c r="L778" t="inlineStr">
        <is>
          <t>0</t>
        </is>
      </c>
      <c r="N778" t="inlineStr">
        <is>
          <t>Berriozar, Navarra [Spain] : Cénlit Ediciones, 1991-</t>
        </is>
      </c>
      <c r="O778" t="inlineStr">
        <is>
          <t>1991</t>
        </is>
      </c>
      <c r="Q778" t="inlineStr">
        <is>
          <t>spa</t>
        </is>
      </c>
      <c r="R778" t="inlineStr">
        <is>
          <t xml:space="preserve">sp </t>
        </is>
      </c>
      <c r="T778" t="inlineStr">
        <is>
          <t xml:space="preserve">PQ </t>
        </is>
      </c>
      <c r="U778" t="n">
        <v>0</v>
      </c>
      <c r="V778" t="n">
        <v>2</v>
      </c>
      <c r="X778" t="inlineStr">
        <is>
          <t>2004-03-25</t>
        </is>
      </c>
      <c r="Y778" t="inlineStr">
        <is>
          <t>2004-05-05</t>
        </is>
      </c>
      <c r="Z778" t="inlineStr">
        <is>
          <t>2004-05-05</t>
        </is>
      </c>
      <c r="AA778" t="n">
        <v>193</v>
      </c>
      <c r="AB778" t="n">
        <v>152</v>
      </c>
      <c r="AC778" t="n">
        <v>155</v>
      </c>
      <c r="AD778" t="n">
        <v>2</v>
      </c>
      <c r="AE778" t="n">
        <v>2</v>
      </c>
      <c r="AF778" t="n">
        <v>10</v>
      </c>
      <c r="AG778" t="n">
        <v>10</v>
      </c>
      <c r="AH778" t="n">
        <v>1</v>
      </c>
      <c r="AI778" t="n">
        <v>1</v>
      </c>
      <c r="AJ778" t="n">
        <v>4</v>
      </c>
      <c r="AK778" t="n">
        <v>4</v>
      </c>
      <c r="AL778" t="n">
        <v>7</v>
      </c>
      <c r="AM778" t="n">
        <v>7</v>
      </c>
      <c r="AN778" t="n">
        <v>1</v>
      </c>
      <c r="AO778" t="n">
        <v>1</v>
      </c>
      <c r="AP778" t="n">
        <v>0</v>
      </c>
      <c r="AQ778" t="n">
        <v>0</v>
      </c>
      <c r="AR778" t="inlineStr">
        <is>
          <t>No</t>
        </is>
      </c>
      <c r="AS778" t="inlineStr">
        <is>
          <t>Yes</t>
        </is>
      </c>
      <c r="AT778">
        <f>HYPERLINK("http://catalog.hathitrust.org/Record/002700686","HathiTrust Record")</f>
        <v/>
      </c>
      <c r="AU778">
        <f>HYPERLINK("https://creighton-primo.hosted.exlibrisgroup.com/primo-explore/search?tab=default_tab&amp;search_scope=EVERYTHING&amp;vid=01CRU&amp;lang=en_US&amp;offset=0&amp;query=any,contains,991002095189702656","Catalog Record")</f>
        <v/>
      </c>
      <c r="AV778">
        <f>HYPERLINK("http://www.worldcat.org/oclc/26857766","WorldCat Record")</f>
        <v/>
      </c>
      <c r="AW778" t="inlineStr">
        <is>
          <t>5090566409:spa</t>
        </is>
      </c>
      <c r="AX778" t="inlineStr">
        <is>
          <t>26857766</t>
        </is>
      </c>
      <c r="AY778" t="inlineStr">
        <is>
          <t>991002095189702656</t>
        </is>
      </c>
      <c r="AZ778" t="inlineStr">
        <is>
          <t>991002095189702656</t>
        </is>
      </c>
      <c r="BA778" t="inlineStr">
        <is>
          <t>2266623650002656</t>
        </is>
      </c>
      <c r="BB778" t="inlineStr">
        <is>
          <t>BOOK</t>
        </is>
      </c>
      <c r="BD778" t="inlineStr">
        <is>
          <t>9788485511242</t>
        </is>
      </c>
      <c r="BE778" t="inlineStr">
        <is>
          <t>32285004930318</t>
        </is>
      </c>
      <c r="BF778" t="inlineStr">
        <is>
          <t>893785711</t>
        </is>
      </c>
    </row>
    <row r="779">
      <c r="A779" t="inlineStr">
        <is>
          <t>No</t>
        </is>
      </c>
      <c r="B779" t="inlineStr">
        <is>
          <t>CURAL</t>
        </is>
      </c>
      <c r="C779" t="inlineStr">
        <is>
          <t>SHELVES</t>
        </is>
      </c>
      <c r="D779" t="inlineStr">
        <is>
          <t>PQ7081 .M3614 1991</t>
        </is>
      </c>
      <c r="E779" t="inlineStr">
        <is>
          <t>0                      PQ 7081000M  3614        1991</t>
        </is>
      </c>
      <c r="F779" t="inlineStr">
        <is>
          <t>El barroco literario en Hispanoamérica : ensayos de teoría y crítica / por Alexis Márquez Rodríguez.</t>
        </is>
      </c>
      <c r="H779" t="inlineStr">
        <is>
          <t>No</t>
        </is>
      </c>
      <c r="I779" t="inlineStr">
        <is>
          <t>1</t>
        </is>
      </c>
      <c r="J779" t="inlineStr">
        <is>
          <t>No</t>
        </is>
      </c>
      <c r="K779" t="inlineStr">
        <is>
          <t>No</t>
        </is>
      </c>
      <c r="L779" t="inlineStr">
        <is>
          <t>0</t>
        </is>
      </c>
      <c r="M779" t="inlineStr">
        <is>
          <t>Márquez Rodríguez, Alexis.</t>
        </is>
      </c>
      <c r="N779" t="inlineStr">
        <is>
          <t>Bogotá, Colombia : Tercer Mundo Editores, 1991.</t>
        </is>
      </c>
      <c r="O779" t="inlineStr">
        <is>
          <t>1991</t>
        </is>
      </c>
      <c r="P779" t="inlineStr">
        <is>
          <t>1. ed.</t>
        </is>
      </c>
      <c r="Q779" t="inlineStr">
        <is>
          <t>spa</t>
        </is>
      </c>
      <c r="R779" t="inlineStr">
        <is>
          <t xml:space="preserve">ck </t>
        </is>
      </c>
      <c r="S779" t="inlineStr">
        <is>
          <t>Crítica literaria</t>
        </is>
      </c>
      <c r="T779" t="inlineStr">
        <is>
          <t xml:space="preserve">PQ </t>
        </is>
      </c>
      <c r="U779" t="n">
        <v>2</v>
      </c>
      <c r="V779" t="n">
        <v>2</v>
      </c>
      <c r="W779" t="inlineStr">
        <is>
          <t>1995-08-21</t>
        </is>
      </c>
      <c r="X779" t="inlineStr">
        <is>
          <t>1995-08-21</t>
        </is>
      </c>
      <c r="Y779" t="inlineStr">
        <is>
          <t>1995-08-17</t>
        </is>
      </c>
      <c r="Z779" t="inlineStr">
        <is>
          <t>1995-08-17</t>
        </is>
      </c>
      <c r="AA779" t="n">
        <v>58</v>
      </c>
      <c r="AB779" t="n">
        <v>45</v>
      </c>
      <c r="AC779" t="n">
        <v>47</v>
      </c>
      <c r="AD779" t="n">
        <v>1</v>
      </c>
      <c r="AE779" t="n">
        <v>1</v>
      </c>
      <c r="AF779" t="n">
        <v>2</v>
      </c>
      <c r="AG779" t="n">
        <v>2</v>
      </c>
      <c r="AH779" t="n">
        <v>1</v>
      </c>
      <c r="AI779" t="n">
        <v>1</v>
      </c>
      <c r="AJ779" t="n">
        <v>1</v>
      </c>
      <c r="AK779" t="n">
        <v>1</v>
      </c>
      <c r="AL779" t="n">
        <v>1</v>
      </c>
      <c r="AM779" t="n">
        <v>1</v>
      </c>
      <c r="AN779" t="n">
        <v>0</v>
      </c>
      <c r="AO779" t="n">
        <v>0</v>
      </c>
      <c r="AP779" t="n">
        <v>0</v>
      </c>
      <c r="AQ779" t="n">
        <v>0</v>
      </c>
      <c r="AR779" t="inlineStr">
        <is>
          <t>No</t>
        </is>
      </c>
      <c r="AS779" t="inlineStr">
        <is>
          <t>Yes</t>
        </is>
      </c>
      <c r="AT779">
        <f>HYPERLINK("http://catalog.hathitrust.org/Record/101095765","HathiTrust Record")</f>
        <v/>
      </c>
      <c r="AU779">
        <f>HYPERLINK("https://creighton-primo.hosted.exlibrisgroup.com/primo-explore/search?tab=default_tab&amp;search_scope=EVERYTHING&amp;vid=01CRU&amp;lang=en_US&amp;offset=0&amp;query=any,contains,991002110719702656","Catalog Record")</f>
        <v/>
      </c>
      <c r="AV779">
        <f>HYPERLINK("http://www.worldcat.org/oclc/27052120","WorldCat Record")</f>
        <v/>
      </c>
      <c r="AW779" t="inlineStr">
        <is>
          <t>434448778:spa</t>
        </is>
      </c>
      <c r="AX779" t="inlineStr">
        <is>
          <t>27052120</t>
        </is>
      </c>
      <c r="AY779" t="inlineStr">
        <is>
          <t>991002110719702656</t>
        </is>
      </c>
      <c r="AZ779" t="inlineStr">
        <is>
          <t>991002110719702656</t>
        </is>
      </c>
      <c r="BA779" t="inlineStr">
        <is>
          <t>2254984340002656</t>
        </is>
      </c>
      <c r="BB779" t="inlineStr">
        <is>
          <t>BOOK</t>
        </is>
      </c>
      <c r="BD779" t="inlineStr">
        <is>
          <t>9789586013529</t>
        </is>
      </c>
      <c r="BE779" t="inlineStr">
        <is>
          <t>32285002080314</t>
        </is>
      </c>
      <c r="BF779" t="inlineStr">
        <is>
          <t>893523210</t>
        </is>
      </c>
    </row>
    <row r="780">
      <c r="A780" t="inlineStr">
        <is>
          <t>No</t>
        </is>
      </c>
      <c r="B780" t="inlineStr">
        <is>
          <t>CURAL</t>
        </is>
      </c>
      <c r="C780" t="inlineStr">
        <is>
          <t>SHELVES</t>
        </is>
      </c>
      <c r="D780" t="inlineStr">
        <is>
          <t>PQ7081 .M617 1979</t>
        </is>
      </c>
      <c r="E780" t="inlineStr">
        <is>
          <t>0                      PQ 7081000M  617         1979</t>
        </is>
      </c>
      <c r="F780" t="inlineStr">
        <is>
          <t>Escritores latinoamericanos contemporáneos / Guillermo Morón ; [portada, Carlos Tosco].</t>
        </is>
      </c>
      <c r="H780" t="inlineStr">
        <is>
          <t>No</t>
        </is>
      </c>
      <c r="I780" t="inlineStr">
        <is>
          <t>1</t>
        </is>
      </c>
      <c r="J780" t="inlineStr">
        <is>
          <t>No</t>
        </is>
      </c>
      <c r="K780" t="inlineStr">
        <is>
          <t>No</t>
        </is>
      </c>
      <c r="L780" t="inlineStr">
        <is>
          <t>0</t>
        </is>
      </c>
      <c r="M780" t="inlineStr">
        <is>
          <t>Morón, Guillermo.</t>
        </is>
      </c>
      <c r="N780" t="inlineStr">
        <is>
          <t>Caracas, Venezuela : Equinoccio, c1979.</t>
        </is>
      </c>
      <c r="O780" t="inlineStr">
        <is>
          <t>1979</t>
        </is>
      </c>
      <c r="Q780" t="inlineStr">
        <is>
          <t>spa</t>
        </is>
      </c>
      <c r="R780" t="inlineStr">
        <is>
          <t xml:space="preserve">ve </t>
        </is>
      </c>
      <c r="S780" t="inlineStr">
        <is>
          <t>Colección Parámetros</t>
        </is>
      </c>
      <c r="T780" t="inlineStr">
        <is>
          <t xml:space="preserve">PQ </t>
        </is>
      </c>
      <c r="U780" t="n">
        <v>1</v>
      </c>
      <c r="V780" t="n">
        <v>1</v>
      </c>
      <c r="W780" t="inlineStr">
        <is>
          <t>2004-08-03</t>
        </is>
      </c>
      <c r="X780" t="inlineStr">
        <is>
          <t>2004-08-03</t>
        </is>
      </c>
      <c r="Y780" t="inlineStr">
        <is>
          <t>2004-08-03</t>
        </is>
      </c>
      <c r="Z780" t="inlineStr">
        <is>
          <t>2004-08-03</t>
        </is>
      </c>
      <c r="AA780" t="n">
        <v>53</v>
      </c>
      <c r="AB780" t="n">
        <v>42</v>
      </c>
      <c r="AC780" t="n">
        <v>48</v>
      </c>
      <c r="AD780" t="n">
        <v>1</v>
      </c>
      <c r="AE780" t="n">
        <v>1</v>
      </c>
      <c r="AF780" t="n">
        <v>2</v>
      </c>
      <c r="AG780" t="n">
        <v>2</v>
      </c>
      <c r="AH780" t="n">
        <v>0</v>
      </c>
      <c r="AI780" t="n">
        <v>0</v>
      </c>
      <c r="AJ780" t="n">
        <v>2</v>
      </c>
      <c r="AK780" t="n">
        <v>2</v>
      </c>
      <c r="AL780" t="n">
        <v>1</v>
      </c>
      <c r="AM780" t="n">
        <v>1</v>
      </c>
      <c r="AN780" t="n">
        <v>0</v>
      </c>
      <c r="AO780" t="n">
        <v>0</v>
      </c>
      <c r="AP780" t="n">
        <v>0</v>
      </c>
      <c r="AQ780" t="n">
        <v>0</v>
      </c>
      <c r="AR780" t="inlineStr">
        <is>
          <t>No</t>
        </is>
      </c>
      <c r="AS780" t="inlineStr">
        <is>
          <t>Yes</t>
        </is>
      </c>
      <c r="AT780">
        <f>HYPERLINK("http://catalog.hathitrust.org/Record/101095785","HathiTrust Record")</f>
        <v/>
      </c>
      <c r="AU780">
        <f>HYPERLINK("https://creighton-primo.hosted.exlibrisgroup.com/primo-explore/search?tab=default_tab&amp;search_scope=EVERYTHING&amp;vid=01CRU&amp;lang=en_US&amp;offset=0&amp;query=any,contains,991004335529702656","Catalog Record")</f>
        <v/>
      </c>
      <c r="AV780">
        <f>HYPERLINK("http://www.worldcat.org/oclc/6090724","WorldCat Record")</f>
        <v/>
      </c>
      <c r="AW780" t="inlineStr">
        <is>
          <t>21051302:spa</t>
        </is>
      </c>
      <c r="AX780" t="inlineStr">
        <is>
          <t>6090724</t>
        </is>
      </c>
      <c r="AY780" t="inlineStr">
        <is>
          <t>991004335529702656</t>
        </is>
      </c>
      <c r="AZ780" t="inlineStr">
        <is>
          <t>991004335529702656</t>
        </is>
      </c>
      <c r="BA780" t="inlineStr">
        <is>
          <t>2264544620002656</t>
        </is>
      </c>
      <c r="BB780" t="inlineStr">
        <is>
          <t>BOOK</t>
        </is>
      </c>
      <c r="BE780" t="inlineStr">
        <is>
          <t>32285004927454</t>
        </is>
      </c>
      <c r="BF780" t="inlineStr">
        <is>
          <t>893794743</t>
        </is>
      </c>
    </row>
    <row r="781">
      <c r="A781" t="inlineStr">
        <is>
          <t>No</t>
        </is>
      </c>
      <c r="B781" t="inlineStr">
        <is>
          <t>CURAL</t>
        </is>
      </c>
      <c r="C781" t="inlineStr">
        <is>
          <t>SHELVES</t>
        </is>
      </c>
      <c r="D781" t="inlineStr">
        <is>
          <t>PQ7081 .N83 1996</t>
        </is>
      </c>
      <c r="E781" t="inlineStr">
        <is>
          <t>0                      PQ 7081000N  83          1996</t>
        </is>
      </c>
      <c r="F781" t="inlineStr">
        <is>
          <t>Las voces perdurables : narradores latinoamericanos del medio siglo / [Sergio Nudelstejer].</t>
        </is>
      </c>
      <c r="H781" t="inlineStr">
        <is>
          <t>No</t>
        </is>
      </c>
      <c r="I781" t="inlineStr">
        <is>
          <t>1</t>
        </is>
      </c>
      <c r="J781" t="inlineStr">
        <is>
          <t>No</t>
        </is>
      </c>
      <c r="K781" t="inlineStr">
        <is>
          <t>No</t>
        </is>
      </c>
      <c r="L781" t="inlineStr">
        <is>
          <t>0</t>
        </is>
      </c>
      <c r="M781" t="inlineStr">
        <is>
          <t>Nudelstejer B., Sergio.</t>
        </is>
      </c>
      <c r="N781" t="inlineStr">
        <is>
          <t>México, D.F. : Universidad Nacional Autónoma de México, Coordinación de Difusión Cultural/Dirección de Literatura : Editorial Aldus, 1996.</t>
        </is>
      </c>
      <c r="O781" t="inlineStr">
        <is>
          <t>1996</t>
        </is>
      </c>
      <c r="P781" t="inlineStr">
        <is>
          <t>1. ed.</t>
        </is>
      </c>
      <c r="Q781" t="inlineStr">
        <is>
          <t>spa</t>
        </is>
      </c>
      <c r="R781" t="inlineStr">
        <is>
          <t xml:space="preserve">mx </t>
        </is>
      </c>
      <c r="S781" t="inlineStr">
        <is>
          <t>Textos de difusión cultural. Serie diagonal</t>
        </is>
      </c>
      <c r="T781" t="inlineStr">
        <is>
          <t xml:space="preserve">PQ </t>
        </is>
      </c>
      <c r="U781" t="n">
        <v>2</v>
      </c>
      <c r="V781" t="n">
        <v>2</v>
      </c>
      <c r="W781" t="inlineStr">
        <is>
          <t>2005-10-13</t>
        </is>
      </c>
      <c r="X781" t="inlineStr">
        <is>
          <t>2005-10-13</t>
        </is>
      </c>
      <c r="Y781" t="inlineStr">
        <is>
          <t>1998-05-21</t>
        </is>
      </c>
      <c r="Z781" t="inlineStr">
        <is>
          <t>1998-05-21</t>
        </is>
      </c>
      <c r="AA781" t="n">
        <v>95</v>
      </c>
      <c r="AB781" t="n">
        <v>81</v>
      </c>
      <c r="AC781" t="n">
        <v>88</v>
      </c>
      <c r="AD781" t="n">
        <v>1</v>
      </c>
      <c r="AE781" t="n">
        <v>1</v>
      </c>
      <c r="AF781" t="n">
        <v>2</v>
      </c>
      <c r="AG781" t="n">
        <v>2</v>
      </c>
      <c r="AH781" t="n">
        <v>0</v>
      </c>
      <c r="AI781" t="n">
        <v>0</v>
      </c>
      <c r="AJ781" t="n">
        <v>1</v>
      </c>
      <c r="AK781" t="n">
        <v>1</v>
      </c>
      <c r="AL781" t="n">
        <v>2</v>
      </c>
      <c r="AM781" t="n">
        <v>2</v>
      </c>
      <c r="AN781" t="n">
        <v>0</v>
      </c>
      <c r="AO781" t="n">
        <v>0</v>
      </c>
      <c r="AP781" t="n">
        <v>0</v>
      </c>
      <c r="AQ781" t="n">
        <v>0</v>
      </c>
      <c r="AR781" t="inlineStr">
        <is>
          <t>No</t>
        </is>
      </c>
      <c r="AS781" t="inlineStr">
        <is>
          <t>Yes</t>
        </is>
      </c>
      <c r="AT781">
        <f>HYPERLINK("http://catalog.hathitrust.org/Record/003970104","HathiTrust Record")</f>
        <v/>
      </c>
      <c r="AU781">
        <f>HYPERLINK("https://creighton-primo.hosted.exlibrisgroup.com/primo-explore/search?tab=default_tab&amp;search_scope=EVERYTHING&amp;vid=01CRU&amp;lang=en_US&amp;offset=0&amp;query=any,contains,991002814899702656","Catalog Record")</f>
        <v/>
      </c>
      <c r="AV781">
        <f>HYPERLINK("http://www.worldcat.org/oclc/36972587","WorldCat Record")</f>
        <v/>
      </c>
      <c r="AW781" t="inlineStr">
        <is>
          <t>365367918:spa</t>
        </is>
      </c>
      <c r="AX781" t="inlineStr">
        <is>
          <t>36972587</t>
        </is>
      </c>
      <c r="AY781" t="inlineStr">
        <is>
          <t>991002814899702656</t>
        </is>
      </c>
      <c r="AZ781" t="inlineStr">
        <is>
          <t>991002814899702656</t>
        </is>
      </c>
      <c r="BA781" t="inlineStr">
        <is>
          <t>2258446500002656</t>
        </is>
      </c>
      <c r="BB781" t="inlineStr">
        <is>
          <t>BOOK</t>
        </is>
      </c>
      <c r="BD781" t="inlineStr">
        <is>
          <t>9789683637574</t>
        </is>
      </c>
      <c r="BE781" t="inlineStr">
        <is>
          <t>32285003411534</t>
        </is>
      </c>
      <c r="BF781" t="inlineStr">
        <is>
          <t>893698305</t>
        </is>
      </c>
    </row>
    <row r="782">
      <c r="A782" t="inlineStr">
        <is>
          <t>No</t>
        </is>
      </c>
      <c r="B782" t="inlineStr">
        <is>
          <t>CURAL</t>
        </is>
      </c>
      <c r="C782" t="inlineStr">
        <is>
          <t>SHELVES</t>
        </is>
      </c>
      <c r="D782" t="inlineStr">
        <is>
          <t>PQ7081 .O74 1976</t>
        </is>
      </c>
      <c r="E782" t="inlineStr">
        <is>
          <t>0                      PQ 7081000O  74          1976</t>
        </is>
      </c>
      <c r="F782" t="inlineStr">
        <is>
          <t>Letras hispanoamericanas de nuestro tiempo / por José Ortega ; con un prólogo de Antonio Ferres.</t>
        </is>
      </c>
      <c r="H782" t="inlineStr">
        <is>
          <t>No</t>
        </is>
      </c>
      <c r="I782" t="inlineStr">
        <is>
          <t>1</t>
        </is>
      </c>
      <c r="J782" t="inlineStr">
        <is>
          <t>No</t>
        </is>
      </c>
      <c r="K782" t="inlineStr">
        <is>
          <t>No</t>
        </is>
      </c>
      <c r="L782" t="inlineStr">
        <is>
          <t>0</t>
        </is>
      </c>
      <c r="M782" t="inlineStr">
        <is>
          <t>Ortega, José, 1933-</t>
        </is>
      </c>
      <c r="N782" t="inlineStr">
        <is>
          <t>Madrid : J. Porrúa Turanzas, 1976.</t>
        </is>
      </c>
      <c r="O782" t="inlineStr">
        <is>
          <t>1976</t>
        </is>
      </c>
      <c r="Q782" t="inlineStr">
        <is>
          <t>spa</t>
        </is>
      </c>
      <c r="R782" t="inlineStr">
        <is>
          <t xml:space="preserve">sp </t>
        </is>
      </c>
      <c r="S782" t="inlineStr">
        <is>
          <t>Ensayos</t>
        </is>
      </c>
      <c r="T782" t="inlineStr">
        <is>
          <t xml:space="preserve">PQ </t>
        </is>
      </c>
      <c r="U782" t="n">
        <v>2</v>
      </c>
      <c r="V782" t="n">
        <v>2</v>
      </c>
      <c r="W782" t="inlineStr">
        <is>
          <t>1995-08-21</t>
        </is>
      </c>
      <c r="X782" t="inlineStr">
        <is>
          <t>1995-08-21</t>
        </is>
      </c>
      <c r="Y782" t="inlineStr">
        <is>
          <t>1995-08-17</t>
        </is>
      </c>
      <c r="Z782" t="inlineStr">
        <is>
          <t>1995-08-17</t>
        </is>
      </c>
      <c r="AA782" t="n">
        <v>224</v>
      </c>
      <c r="AB782" t="n">
        <v>168</v>
      </c>
      <c r="AC782" t="n">
        <v>175</v>
      </c>
      <c r="AD782" t="n">
        <v>1</v>
      </c>
      <c r="AE782" t="n">
        <v>1</v>
      </c>
      <c r="AF782" t="n">
        <v>7</v>
      </c>
      <c r="AG782" t="n">
        <v>7</v>
      </c>
      <c r="AH782" t="n">
        <v>1</v>
      </c>
      <c r="AI782" t="n">
        <v>1</v>
      </c>
      <c r="AJ782" t="n">
        <v>4</v>
      </c>
      <c r="AK782" t="n">
        <v>4</v>
      </c>
      <c r="AL782" t="n">
        <v>3</v>
      </c>
      <c r="AM782" t="n">
        <v>3</v>
      </c>
      <c r="AN782" t="n">
        <v>0</v>
      </c>
      <c r="AO782" t="n">
        <v>0</v>
      </c>
      <c r="AP782" t="n">
        <v>0</v>
      </c>
      <c r="AQ782" t="n">
        <v>0</v>
      </c>
      <c r="AR782" t="inlineStr">
        <is>
          <t>No</t>
        </is>
      </c>
      <c r="AS782" t="inlineStr">
        <is>
          <t>Yes</t>
        </is>
      </c>
      <c r="AT782">
        <f>HYPERLINK("http://catalog.hathitrust.org/Record/000724967","HathiTrust Record")</f>
        <v/>
      </c>
      <c r="AU782">
        <f>HYPERLINK("https://creighton-primo.hosted.exlibrisgroup.com/primo-explore/search?tab=default_tab&amp;search_scope=EVERYTHING&amp;vid=01CRU&amp;lang=en_US&amp;offset=0&amp;query=any,contains,991004121069702656","Catalog Record")</f>
        <v/>
      </c>
      <c r="AV782">
        <f>HYPERLINK("http://www.worldcat.org/oclc/2425489","WorldCat Record")</f>
        <v/>
      </c>
      <c r="AW782" t="inlineStr">
        <is>
          <t>5080341:spa</t>
        </is>
      </c>
      <c r="AX782" t="inlineStr">
        <is>
          <t>2425489</t>
        </is>
      </c>
      <c r="AY782" t="inlineStr">
        <is>
          <t>991004121069702656</t>
        </is>
      </c>
      <c r="AZ782" t="inlineStr">
        <is>
          <t>991004121069702656</t>
        </is>
      </c>
      <c r="BA782" t="inlineStr">
        <is>
          <t>2264376280002656</t>
        </is>
      </c>
      <c r="BB782" t="inlineStr">
        <is>
          <t>BOOK</t>
        </is>
      </c>
      <c r="BD782" t="inlineStr">
        <is>
          <t>9788473170611</t>
        </is>
      </c>
      <c r="BE782" t="inlineStr">
        <is>
          <t>32285002080520</t>
        </is>
      </c>
      <c r="BF782" t="inlineStr">
        <is>
          <t>893235080</t>
        </is>
      </c>
    </row>
    <row r="783">
      <c r="A783" t="inlineStr">
        <is>
          <t>No</t>
        </is>
      </c>
      <c r="B783" t="inlineStr">
        <is>
          <t>CURAL</t>
        </is>
      </c>
      <c r="C783" t="inlineStr">
        <is>
          <t>SHELVES</t>
        </is>
      </c>
      <c r="D783" t="inlineStr">
        <is>
          <t>PQ7081 .P44 1980</t>
        </is>
      </c>
      <c r="E783" t="inlineStr">
        <is>
          <t>0                      PQ 7081000P  44          1980</t>
        </is>
      </c>
      <c r="F783" t="inlineStr">
        <is>
          <t>Literatura y sociedad en América Latina / por Françoise Perus.</t>
        </is>
      </c>
      <c r="H783" t="inlineStr">
        <is>
          <t>No</t>
        </is>
      </c>
      <c r="I783" t="inlineStr">
        <is>
          <t>1</t>
        </is>
      </c>
      <c r="J783" t="inlineStr">
        <is>
          <t>No</t>
        </is>
      </c>
      <c r="K783" t="inlineStr">
        <is>
          <t>No</t>
        </is>
      </c>
      <c r="L783" t="inlineStr">
        <is>
          <t>0</t>
        </is>
      </c>
      <c r="M783" t="inlineStr">
        <is>
          <t>Perus, Françoise.</t>
        </is>
      </c>
      <c r="N783" t="inlineStr">
        <is>
          <t>México : Siglo Veintiuno Editores, 1980.</t>
        </is>
      </c>
      <c r="O783" t="inlineStr">
        <is>
          <t>1980</t>
        </is>
      </c>
      <c r="P783" t="inlineStr">
        <is>
          <t>3a ed.</t>
        </is>
      </c>
      <c r="Q783" t="inlineStr">
        <is>
          <t>spa</t>
        </is>
      </c>
      <c r="R783" t="inlineStr">
        <is>
          <t xml:space="preserve">mx </t>
        </is>
      </c>
      <c r="S783" t="inlineStr">
        <is>
          <t>Sociología y política</t>
        </is>
      </c>
      <c r="T783" t="inlineStr">
        <is>
          <t xml:space="preserve">PQ </t>
        </is>
      </c>
      <c r="U783" t="n">
        <v>1</v>
      </c>
      <c r="V783" t="n">
        <v>1</v>
      </c>
      <c r="W783" t="inlineStr">
        <is>
          <t>2004-08-05</t>
        </is>
      </c>
      <c r="X783" t="inlineStr">
        <is>
          <t>2004-08-05</t>
        </is>
      </c>
      <c r="Y783" t="inlineStr">
        <is>
          <t>2004-08-05</t>
        </is>
      </c>
      <c r="Z783" t="inlineStr">
        <is>
          <t>2004-08-05</t>
        </is>
      </c>
      <c r="AA783" t="n">
        <v>41</v>
      </c>
      <c r="AB783" t="n">
        <v>37</v>
      </c>
      <c r="AC783" t="n">
        <v>173</v>
      </c>
      <c r="AD783" t="n">
        <v>2</v>
      </c>
      <c r="AE783" t="n">
        <v>2</v>
      </c>
      <c r="AF783" t="n">
        <v>2</v>
      </c>
      <c r="AG783" t="n">
        <v>8</v>
      </c>
      <c r="AH783" t="n">
        <v>0</v>
      </c>
      <c r="AI783" t="n">
        <v>1</v>
      </c>
      <c r="AJ783" t="n">
        <v>0</v>
      </c>
      <c r="AK783" t="n">
        <v>2</v>
      </c>
      <c r="AL783" t="n">
        <v>1</v>
      </c>
      <c r="AM783" t="n">
        <v>5</v>
      </c>
      <c r="AN783" t="n">
        <v>1</v>
      </c>
      <c r="AO783" t="n">
        <v>1</v>
      </c>
      <c r="AP783" t="n">
        <v>0</v>
      </c>
      <c r="AQ783" t="n">
        <v>0</v>
      </c>
      <c r="AR783" t="inlineStr">
        <is>
          <t>No</t>
        </is>
      </c>
      <c r="AS783" t="inlineStr">
        <is>
          <t>No</t>
        </is>
      </c>
      <c r="AU783">
        <f>HYPERLINK("https://creighton-primo.hosted.exlibrisgroup.com/primo-explore/search?tab=default_tab&amp;search_scope=EVERYTHING&amp;vid=01CRU&amp;lang=en_US&amp;offset=0&amp;query=any,contains,991004341489702656","Catalog Record")</f>
        <v/>
      </c>
      <c r="AV783">
        <f>HYPERLINK("http://www.worldcat.org/oclc/8706551","WorldCat Record")</f>
        <v/>
      </c>
      <c r="AW783" t="inlineStr">
        <is>
          <t>7243966:spa</t>
        </is>
      </c>
      <c r="AX783" t="inlineStr">
        <is>
          <t>8706551</t>
        </is>
      </c>
      <c r="AY783" t="inlineStr">
        <is>
          <t>991004341489702656</t>
        </is>
      </c>
      <c r="AZ783" t="inlineStr">
        <is>
          <t>991004341489702656</t>
        </is>
      </c>
      <c r="BA783" t="inlineStr">
        <is>
          <t>2258472420002656</t>
        </is>
      </c>
      <c r="BB783" t="inlineStr">
        <is>
          <t>BOOK</t>
        </is>
      </c>
      <c r="BD783" t="inlineStr">
        <is>
          <t>9789682303036</t>
        </is>
      </c>
      <c r="BE783" t="inlineStr">
        <is>
          <t>32285004929005</t>
        </is>
      </c>
      <c r="BF783" t="inlineStr">
        <is>
          <t>893612234</t>
        </is>
      </c>
    </row>
    <row r="784">
      <c r="A784" t="inlineStr">
        <is>
          <t>No</t>
        </is>
      </c>
      <c r="B784" t="inlineStr">
        <is>
          <t>CURAL</t>
        </is>
      </c>
      <c r="C784" t="inlineStr">
        <is>
          <t>SHELVES</t>
        </is>
      </c>
      <c r="D784" t="inlineStr">
        <is>
          <t>PQ7081 .R29 1994</t>
        </is>
      </c>
      <c r="E784" t="inlineStr">
        <is>
          <t>0                      PQ 7081000R  29          1994</t>
        </is>
      </c>
      <c r="F784" t="inlineStr">
        <is>
          <t>Seis ensayos sobre literatura Latinoamericana / Elías A. Ramos Q.</t>
        </is>
      </c>
      <c r="H784" t="inlineStr">
        <is>
          <t>No</t>
        </is>
      </c>
      <c r="I784" t="inlineStr">
        <is>
          <t>1</t>
        </is>
      </c>
      <c r="J784" t="inlineStr">
        <is>
          <t>No</t>
        </is>
      </c>
      <c r="K784" t="inlineStr">
        <is>
          <t>No</t>
        </is>
      </c>
      <c r="L784" t="inlineStr">
        <is>
          <t>0</t>
        </is>
      </c>
      <c r="M784" t="inlineStr">
        <is>
          <t>Ramos Q., Elías A.</t>
        </is>
      </c>
      <c r="N784" t="inlineStr">
        <is>
          <t>Caracas, Venezuela : Ediciones La Espada Rota, 1994.</t>
        </is>
      </c>
      <c r="O784" t="inlineStr">
        <is>
          <t>1994</t>
        </is>
      </c>
      <c r="Q784" t="inlineStr">
        <is>
          <t>spa</t>
        </is>
      </c>
      <c r="R784" t="inlineStr">
        <is>
          <t xml:space="preserve">ve </t>
        </is>
      </c>
      <c r="S784" t="inlineStr">
        <is>
          <t>Colección Estudios latinoamericanos</t>
        </is>
      </c>
      <c r="T784" t="inlineStr">
        <is>
          <t xml:space="preserve">PQ </t>
        </is>
      </c>
      <c r="U784" t="n">
        <v>1</v>
      </c>
      <c r="V784" t="n">
        <v>1</v>
      </c>
      <c r="W784" t="inlineStr">
        <is>
          <t>2002-04-09</t>
        </is>
      </c>
      <c r="X784" t="inlineStr">
        <is>
          <t>2002-04-09</t>
        </is>
      </c>
      <c r="Y784" t="inlineStr">
        <is>
          <t>2002-03-14</t>
        </is>
      </c>
      <c r="Z784" t="inlineStr">
        <is>
          <t>2002-03-14</t>
        </is>
      </c>
      <c r="AA784" t="n">
        <v>3</v>
      </c>
      <c r="AB784" t="n">
        <v>3</v>
      </c>
      <c r="AC784" t="n">
        <v>3</v>
      </c>
      <c r="AD784" t="n">
        <v>1</v>
      </c>
      <c r="AE784" t="n">
        <v>1</v>
      </c>
      <c r="AF784" t="n">
        <v>0</v>
      </c>
      <c r="AG784" t="n">
        <v>0</v>
      </c>
      <c r="AH784" t="n">
        <v>0</v>
      </c>
      <c r="AI784" t="n">
        <v>0</v>
      </c>
      <c r="AJ784" t="n">
        <v>0</v>
      </c>
      <c r="AK784" t="n">
        <v>0</v>
      </c>
      <c r="AL784" t="n">
        <v>0</v>
      </c>
      <c r="AM784" t="n">
        <v>0</v>
      </c>
      <c r="AN784" t="n">
        <v>0</v>
      </c>
      <c r="AO784" t="n">
        <v>0</v>
      </c>
      <c r="AP784" t="n">
        <v>0</v>
      </c>
      <c r="AQ784" t="n">
        <v>0</v>
      </c>
      <c r="AR784" t="inlineStr">
        <is>
          <t>No</t>
        </is>
      </c>
      <c r="AS784" t="inlineStr">
        <is>
          <t>No</t>
        </is>
      </c>
      <c r="AU784">
        <f>HYPERLINK("https://creighton-primo.hosted.exlibrisgroup.com/primo-explore/search?tab=default_tab&amp;search_scope=EVERYTHING&amp;vid=01CRU&amp;lang=en_US&amp;offset=0&amp;query=any,contains,991003765269702656","Catalog Record")</f>
        <v/>
      </c>
      <c r="AV784">
        <f>HYPERLINK("http://www.worldcat.org/oclc/32645052","WorldCat Record")</f>
        <v/>
      </c>
      <c r="AW784" t="inlineStr">
        <is>
          <t>351614043:spa</t>
        </is>
      </c>
      <c r="AX784" t="inlineStr">
        <is>
          <t>32645052</t>
        </is>
      </c>
      <c r="AY784" t="inlineStr">
        <is>
          <t>991003765269702656</t>
        </is>
      </c>
      <c r="AZ784" t="inlineStr">
        <is>
          <t>991003765269702656</t>
        </is>
      </c>
      <c r="BA784" t="inlineStr">
        <is>
          <t>2263108380002656</t>
        </is>
      </c>
      <c r="BB784" t="inlineStr">
        <is>
          <t>BOOK</t>
        </is>
      </c>
      <c r="BE784" t="inlineStr">
        <is>
          <t>32285004461116</t>
        </is>
      </c>
      <c r="BF784" t="inlineStr">
        <is>
          <t>893598953</t>
        </is>
      </c>
    </row>
    <row r="785">
      <c r="A785" t="inlineStr">
        <is>
          <t>No</t>
        </is>
      </c>
      <c r="B785" t="inlineStr">
        <is>
          <t>CURAL</t>
        </is>
      </c>
      <c r="C785" t="inlineStr">
        <is>
          <t>SHELVES</t>
        </is>
      </c>
      <c r="D785" t="inlineStr">
        <is>
          <t>PQ7081 .R525 1993</t>
        </is>
      </c>
      <c r="E785" t="inlineStr">
        <is>
          <t>0                      PQ 7081000R  525         1993</t>
        </is>
      </c>
      <c r="F785" t="inlineStr">
        <is>
          <t>La bausqueda sin fin / Francisco Rivera.</t>
        </is>
      </c>
      <c r="H785" t="inlineStr">
        <is>
          <t>No</t>
        </is>
      </c>
      <c r="I785" t="inlineStr">
        <is>
          <t>1</t>
        </is>
      </c>
      <c r="J785" t="inlineStr">
        <is>
          <t>No</t>
        </is>
      </c>
      <c r="K785" t="inlineStr">
        <is>
          <t>No</t>
        </is>
      </c>
      <c r="L785" t="inlineStr">
        <is>
          <t>0</t>
        </is>
      </c>
      <c r="M785" t="inlineStr">
        <is>
          <t>Rivera, Francisco, 1933-</t>
        </is>
      </c>
      <c r="N785" t="inlineStr">
        <is>
          <t>Caracas, Venezuela : Monte Avila Editores Latinoamericana, 1993.</t>
        </is>
      </c>
      <c r="O785" t="inlineStr">
        <is>
          <t>1993</t>
        </is>
      </c>
      <c r="P785" t="inlineStr">
        <is>
          <t>1. ed.</t>
        </is>
      </c>
      <c r="Q785" t="inlineStr">
        <is>
          <t>spa</t>
        </is>
      </c>
      <c r="R785" t="inlineStr">
        <is>
          <t xml:space="preserve">ve </t>
        </is>
      </c>
      <c r="S785" t="inlineStr">
        <is>
          <t>Estudios</t>
        </is>
      </c>
      <c r="T785" t="inlineStr">
        <is>
          <t xml:space="preserve">PQ </t>
        </is>
      </c>
      <c r="U785" t="n">
        <v>1</v>
      </c>
      <c r="V785" t="n">
        <v>1</v>
      </c>
      <c r="W785" t="inlineStr">
        <is>
          <t>2004-08-02</t>
        </is>
      </c>
      <c r="X785" t="inlineStr">
        <is>
          <t>2004-08-02</t>
        </is>
      </c>
      <c r="Y785" t="inlineStr">
        <is>
          <t>2004-08-02</t>
        </is>
      </c>
      <c r="Z785" t="inlineStr">
        <is>
          <t>2004-08-02</t>
        </is>
      </c>
      <c r="AA785" t="n">
        <v>42</v>
      </c>
      <c r="AB785" t="n">
        <v>34</v>
      </c>
      <c r="AC785" t="n">
        <v>36</v>
      </c>
      <c r="AD785" t="n">
        <v>1</v>
      </c>
      <c r="AE785" t="n">
        <v>1</v>
      </c>
      <c r="AF785" t="n">
        <v>2</v>
      </c>
      <c r="AG785" t="n">
        <v>2</v>
      </c>
      <c r="AH785" t="n">
        <v>1</v>
      </c>
      <c r="AI785" t="n">
        <v>1</v>
      </c>
      <c r="AJ785" t="n">
        <v>1</v>
      </c>
      <c r="AK785" t="n">
        <v>1</v>
      </c>
      <c r="AL785" t="n">
        <v>1</v>
      </c>
      <c r="AM785" t="n">
        <v>1</v>
      </c>
      <c r="AN785" t="n">
        <v>0</v>
      </c>
      <c r="AO785" t="n">
        <v>0</v>
      </c>
      <c r="AP785" t="n">
        <v>0</v>
      </c>
      <c r="AQ785" t="n">
        <v>0</v>
      </c>
      <c r="AR785" t="inlineStr">
        <is>
          <t>No</t>
        </is>
      </c>
      <c r="AS785" t="inlineStr">
        <is>
          <t>Yes</t>
        </is>
      </c>
      <c r="AT785">
        <f>HYPERLINK("http://catalog.hathitrust.org/Record/101009644","HathiTrust Record")</f>
        <v/>
      </c>
      <c r="AU785">
        <f>HYPERLINK("https://creighton-primo.hosted.exlibrisgroup.com/primo-explore/search?tab=default_tab&amp;search_scope=EVERYTHING&amp;vid=01CRU&amp;lang=en_US&amp;offset=0&amp;query=any,contains,991004332839702656","Catalog Record")</f>
        <v/>
      </c>
      <c r="AV785">
        <f>HYPERLINK("http://www.worldcat.org/oclc/30016336","WorldCat Record")</f>
        <v/>
      </c>
      <c r="AW785" t="inlineStr">
        <is>
          <t>365542459:spa</t>
        </is>
      </c>
      <c r="AX785" t="inlineStr">
        <is>
          <t>30016336</t>
        </is>
      </c>
      <c r="AY785" t="inlineStr">
        <is>
          <t>991004332839702656</t>
        </is>
      </c>
      <c r="AZ785" t="inlineStr">
        <is>
          <t>991004332839702656</t>
        </is>
      </c>
      <c r="BA785" t="inlineStr">
        <is>
          <t>2261419330002656</t>
        </is>
      </c>
      <c r="BB785" t="inlineStr">
        <is>
          <t>BOOK</t>
        </is>
      </c>
      <c r="BD785" t="inlineStr">
        <is>
          <t>9789800107195</t>
        </is>
      </c>
      <c r="BE785" t="inlineStr">
        <is>
          <t>32285004925334</t>
        </is>
      </c>
      <c r="BF785" t="inlineStr">
        <is>
          <t>893605890</t>
        </is>
      </c>
    </row>
    <row r="786">
      <c r="A786" t="inlineStr">
        <is>
          <t>No</t>
        </is>
      </c>
      <c r="B786" t="inlineStr">
        <is>
          <t>CURAL</t>
        </is>
      </c>
      <c r="C786" t="inlineStr">
        <is>
          <t>SHELVES</t>
        </is>
      </c>
      <c r="D786" t="inlineStr">
        <is>
          <t>PQ7081 .R585 1995</t>
        </is>
      </c>
      <c r="E786" t="inlineStr">
        <is>
          <t>0                      PQ 7081000R  585         1995</t>
        </is>
      </c>
      <c r="F786" t="inlineStr">
        <is>
          <t>El reflejo perdido / Neveska Rodríguez M.</t>
        </is>
      </c>
      <c r="H786" t="inlineStr">
        <is>
          <t>No</t>
        </is>
      </c>
      <c r="I786" t="inlineStr">
        <is>
          <t>1</t>
        </is>
      </c>
      <c r="J786" t="inlineStr">
        <is>
          <t>No</t>
        </is>
      </c>
      <c r="K786" t="inlineStr">
        <is>
          <t>No</t>
        </is>
      </c>
      <c r="L786" t="inlineStr">
        <is>
          <t>0</t>
        </is>
      </c>
      <c r="M786" t="inlineStr">
        <is>
          <t>Rodríguez Martínez, Neveska.</t>
        </is>
      </c>
      <c r="N786" t="inlineStr">
        <is>
          <t>Mérida, Venezuela : Ediciones de la Casa de Asterion, 1995.</t>
        </is>
      </c>
      <c r="O786" t="inlineStr">
        <is>
          <t>1995</t>
        </is>
      </c>
      <c r="Q786" t="inlineStr">
        <is>
          <t>spa</t>
        </is>
      </c>
      <c r="R786" t="inlineStr">
        <is>
          <t xml:space="preserve">ve </t>
        </is>
      </c>
      <c r="T786" t="inlineStr">
        <is>
          <t xml:space="preserve">PQ </t>
        </is>
      </c>
      <c r="U786" t="n">
        <v>1</v>
      </c>
      <c r="V786" t="n">
        <v>1</v>
      </c>
      <c r="W786" t="inlineStr">
        <is>
          <t>2002-07-02</t>
        </is>
      </c>
      <c r="X786" t="inlineStr">
        <is>
          <t>2002-07-02</t>
        </is>
      </c>
      <c r="Y786" t="inlineStr">
        <is>
          <t>2002-07-01</t>
        </is>
      </c>
      <c r="Z786" t="inlineStr">
        <is>
          <t>2002-07-01</t>
        </is>
      </c>
      <c r="AA786" t="n">
        <v>10</v>
      </c>
      <c r="AB786" t="n">
        <v>9</v>
      </c>
      <c r="AC786" t="n">
        <v>9</v>
      </c>
      <c r="AD786" t="n">
        <v>1</v>
      </c>
      <c r="AE786" t="n">
        <v>1</v>
      </c>
      <c r="AF786" t="n">
        <v>1</v>
      </c>
      <c r="AG786" t="n">
        <v>1</v>
      </c>
      <c r="AH786" t="n">
        <v>0</v>
      </c>
      <c r="AI786" t="n">
        <v>0</v>
      </c>
      <c r="AJ786" t="n">
        <v>1</v>
      </c>
      <c r="AK786" t="n">
        <v>1</v>
      </c>
      <c r="AL786" t="n">
        <v>1</v>
      </c>
      <c r="AM786" t="n">
        <v>1</v>
      </c>
      <c r="AN786" t="n">
        <v>0</v>
      </c>
      <c r="AO786" t="n">
        <v>0</v>
      </c>
      <c r="AP786" t="n">
        <v>0</v>
      </c>
      <c r="AQ786" t="n">
        <v>0</v>
      </c>
      <c r="AR786" t="inlineStr">
        <is>
          <t>No</t>
        </is>
      </c>
      <c r="AS786" t="inlineStr">
        <is>
          <t>No</t>
        </is>
      </c>
      <c r="AU786">
        <f>HYPERLINK("https://creighton-primo.hosted.exlibrisgroup.com/primo-explore/search?tab=default_tab&amp;search_scope=EVERYTHING&amp;vid=01CRU&amp;lang=en_US&amp;offset=0&amp;query=any,contains,991003834949702656","Catalog Record")</f>
        <v/>
      </c>
      <c r="AV786">
        <f>HYPERLINK("http://www.worldcat.org/oclc/37277497","WorldCat Record")</f>
        <v/>
      </c>
      <c r="AW786" t="inlineStr">
        <is>
          <t>45609469:spa</t>
        </is>
      </c>
      <c r="AX786" t="inlineStr">
        <is>
          <t>37277497</t>
        </is>
      </c>
      <c r="AY786" t="inlineStr">
        <is>
          <t>991003834949702656</t>
        </is>
      </c>
      <c r="AZ786" t="inlineStr">
        <is>
          <t>991003834949702656</t>
        </is>
      </c>
      <c r="BA786" t="inlineStr">
        <is>
          <t>2271379920002656</t>
        </is>
      </c>
      <c r="BB786" t="inlineStr">
        <is>
          <t>BOOK</t>
        </is>
      </c>
      <c r="BD786" t="inlineStr">
        <is>
          <t>9789806361270</t>
        </is>
      </c>
      <c r="BE786" t="inlineStr">
        <is>
          <t>32285004496138</t>
        </is>
      </c>
      <c r="BF786" t="inlineStr">
        <is>
          <t>893512415</t>
        </is>
      </c>
    </row>
    <row r="787">
      <c r="A787" t="inlineStr">
        <is>
          <t>No</t>
        </is>
      </c>
      <c r="B787" t="inlineStr">
        <is>
          <t>CURAL</t>
        </is>
      </c>
      <c r="C787" t="inlineStr">
        <is>
          <t>SHELVES</t>
        </is>
      </c>
      <c r="D787" t="inlineStr">
        <is>
          <t>PQ7081 .R617 1968</t>
        </is>
      </c>
      <c r="E787" t="inlineStr">
        <is>
          <t>0                      PQ 7081000R  617         1968</t>
        </is>
      </c>
      <c r="F787" t="inlineStr">
        <is>
          <t>El arte de narrar : diálogos / Emir Rodriguez Monegal.</t>
        </is>
      </c>
      <c r="H787" t="inlineStr">
        <is>
          <t>No</t>
        </is>
      </c>
      <c r="I787" t="inlineStr">
        <is>
          <t>1</t>
        </is>
      </c>
      <c r="J787" t="inlineStr">
        <is>
          <t>No</t>
        </is>
      </c>
      <c r="K787" t="inlineStr">
        <is>
          <t>No</t>
        </is>
      </c>
      <c r="L787" t="inlineStr">
        <is>
          <t>0</t>
        </is>
      </c>
      <c r="M787" t="inlineStr">
        <is>
          <t>Rodríguez Monegal, Emir.</t>
        </is>
      </c>
      <c r="N787" t="inlineStr">
        <is>
          <t>[Caracas] : Monte Avila Editores, [1968]</t>
        </is>
      </c>
      <c r="O787" t="inlineStr">
        <is>
          <t>1968</t>
        </is>
      </c>
      <c r="Q787" t="inlineStr">
        <is>
          <t>spa</t>
        </is>
      </c>
      <c r="R787" t="inlineStr">
        <is>
          <t xml:space="preserve">ve </t>
        </is>
      </c>
      <c r="S787" t="inlineStr">
        <is>
          <t>Colección Prisma</t>
        </is>
      </c>
      <c r="T787" t="inlineStr">
        <is>
          <t xml:space="preserve">PQ </t>
        </is>
      </c>
      <c r="U787" t="n">
        <v>1</v>
      </c>
      <c r="V787" t="n">
        <v>1</v>
      </c>
      <c r="W787" t="inlineStr">
        <is>
          <t>2002-07-02</t>
        </is>
      </c>
      <c r="X787" t="inlineStr">
        <is>
          <t>2002-07-02</t>
        </is>
      </c>
      <c r="Y787" t="inlineStr">
        <is>
          <t>2002-07-01</t>
        </is>
      </c>
      <c r="Z787" t="inlineStr">
        <is>
          <t>2002-07-01</t>
        </is>
      </c>
      <c r="AA787" t="n">
        <v>310</v>
      </c>
      <c r="AB787" t="n">
        <v>273</v>
      </c>
      <c r="AC787" t="n">
        <v>324</v>
      </c>
      <c r="AD787" t="n">
        <v>3</v>
      </c>
      <c r="AE787" t="n">
        <v>3</v>
      </c>
      <c r="AF787" t="n">
        <v>10</v>
      </c>
      <c r="AG787" t="n">
        <v>12</v>
      </c>
      <c r="AH787" t="n">
        <v>2</v>
      </c>
      <c r="AI787" t="n">
        <v>3</v>
      </c>
      <c r="AJ787" t="n">
        <v>3</v>
      </c>
      <c r="AK787" t="n">
        <v>4</v>
      </c>
      <c r="AL787" t="n">
        <v>6</v>
      </c>
      <c r="AM787" t="n">
        <v>7</v>
      </c>
      <c r="AN787" t="n">
        <v>2</v>
      </c>
      <c r="AO787" t="n">
        <v>2</v>
      </c>
      <c r="AP787" t="n">
        <v>0</v>
      </c>
      <c r="AQ787" t="n">
        <v>0</v>
      </c>
      <c r="AR787" t="inlineStr">
        <is>
          <t>No</t>
        </is>
      </c>
      <c r="AS787" t="inlineStr">
        <is>
          <t>Yes</t>
        </is>
      </c>
      <c r="AT787">
        <f>HYPERLINK("http://catalog.hathitrust.org/Record/001049069","HathiTrust Record")</f>
        <v/>
      </c>
      <c r="AU787">
        <f>HYPERLINK("https://creighton-primo.hosted.exlibrisgroup.com/primo-explore/search?tab=default_tab&amp;search_scope=EVERYTHING&amp;vid=01CRU&amp;lang=en_US&amp;offset=0&amp;query=any,contains,991003834629702656","Catalog Record")</f>
        <v/>
      </c>
      <c r="AV787">
        <f>HYPERLINK("http://www.worldcat.org/oclc/399345","WorldCat Record")</f>
        <v/>
      </c>
      <c r="AW787" t="inlineStr">
        <is>
          <t>365354506:spa</t>
        </is>
      </c>
      <c r="AX787" t="inlineStr">
        <is>
          <t>399345</t>
        </is>
      </c>
      <c r="AY787" t="inlineStr">
        <is>
          <t>991003834629702656</t>
        </is>
      </c>
      <c r="AZ787" t="inlineStr">
        <is>
          <t>991003834629702656</t>
        </is>
      </c>
      <c r="BA787" t="inlineStr">
        <is>
          <t>2258001380002656</t>
        </is>
      </c>
      <c r="BB787" t="inlineStr">
        <is>
          <t>BOOK</t>
        </is>
      </c>
      <c r="BE787" t="inlineStr">
        <is>
          <t>32285004496179</t>
        </is>
      </c>
      <c r="BF787" t="inlineStr">
        <is>
          <t>893868933</t>
        </is>
      </c>
    </row>
    <row r="788">
      <c r="A788" t="inlineStr">
        <is>
          <t>No</t>
        </is>
      </c>
      <c r="B788" t="inlineStr">
        <is>
          <t>CURAL</t>
        </is>
      </c>
      <c r="C788" t="inlineStr">
        <is>
          <t>SHELVES</t>
        </is>
      </c>
      <c r="D788" t="inlineStr">
        <is>
          <t>PQ7081 .S33 1968</t>
        </is>
      </c>
      <c r="E788" t="inlineStr">
        <is>
          <t>0                      PQ 7081000S  33          1968</t>
        </is>
      </c>
      <c r="F788" t="inlineStr">
        <is>
          <t>Gaenesis del modernismo : Martai, Naajera, Silva, Casal / [por] Ivaan A. Schulman.</t>
        </is>
      </c>
      <c r="H788" t="inlineStr">
        <is>
          <t>No</t>
        </is>
      </c>
      <c r="I788" t="inlineStr">
        <is>
          <t>1</t>
        </is>
      </c>
      <c r="J788" t="inlineStr">
        <is>
          <t>No</t>
        </is>
      </c>
      <c r="K788" t="inlineStr">
        <is>
          <t>No</t>
        </is>
      </c>
      <c r="L788" t="inlineStr">
        <is>
          <t>0</t>
        </is>
      </c>
      <c r="M788" t="inlineStr">
        <is>
          <t>Schulman, Iván A.</t>
        </is>
      </c>
      <c r="N788" t="inlineStr">
        <is>
          <t>Maexico : Colegio de Maexico ; [St. Louis, Mo.] : Washington University Press, [1968, c1966]</t>
        </is>
      </c>
      <c r="O788" t="inlineStr">
        <is>
          <t>1968</t>
        </is>
      </c>
      <c r="P788" t="inlineStr">
        <is>
          <t>2. ed.</t>
        </is>
      </c>
      <c r="Q788" t="inlineStr">
        <is>
          <t>spa</t>
        </is>
      </c>
      <c r="R788" t="inlineStr">
        <is>
          <t xml:space="preserve">mx </t>
        </is>
      </c>
      <c r="T788" t="inlineStr">
        <is>
          <t xml:space="preserve">PQ </t>
        </is>
      </c>
      <c r="U788" t="n">
        <v>1</v>
      </c>
      <c r="V788" t="n">
        <v>1</v>
      </c>
      <c r="W788" t="inlineStr">
        <is>
          <t>2004-08-04</t>
        </is>
      </c>
      <c r="X788" t="inlineStr">
        <is>
          <t>2004-08-04</t>
        </is>
      </c>
      <c r="Y788" t="inlineStr">
        <is>
          <t>2004-08-04</t>
        </is>
      </c>
      <c r="Z788" t="inlineStr">
        <is>
          <t>2004-08-04</t>
        </is>
      </c>
      <c r="AA788" t="n">
        <v>224</v>
      </c>
      <c r="AB788" t="n">
        <v>189</v>
      </c>
      <c r="AC788" t="n">
        <v>351</v>
      </c>
      <c r="AD788" t="n">
        <v>3</v>
      </c>
      <c r="AE788" t="n">
        <v>4</v>
      </c>
      <c r="AF788" t="n">
        <v>12</v>
      </c>
      <c r="AG788" t="n">
        <v>17</v>
      </c>
      <c r="AH788" t="n">
        <v>3</v>
      </c>
      <c r="AI788" t="n">
        <v>6</v>
      </c>
      <c r="AJ788" t="n">
        <v>2</v>
      </c>
      <c r="AK788" t="n">
        <v>3</v>
      </c>
      <c r="AL788" t="n">
        <v>8</v>
      </c>
      <c r="AM788" t="n">
        <v>8</v>
      </c>
      <c r="AN788" t="n">
        <v>2</v>
      </c>
      <c r="AO788" t="n">
        <v>3</v>
      </c>
      <c r="AP788" t="n">
        <v>0</v>
      </c>
      <c r="AQ788" t="n">
        <v>0</v>
      </c>
      <c r="AR788" t="inlineStr">
        <is>
          <t>No</t>
        </is>
      </c>
      <c r="AS788" t="inlineStr">
        <is>
          <t>Yes</t>
        </is>
      </c>
      <c r="AT788">
        <f>HYPERLINK("http://catalog.hathitrust.org/Record/001049102","HathiTrust Record")</f>
        <v/>
      </c>
      <c r="AU788">
        <f>HYPERLINK("https://creighton-primo.hosted.exlibrisgroup.com/primo-explore/search?tab=default_tab&amp;search_scope=EVERYTHING&amp;vid=01CRU&amp;lang=en_US&amp;offset=0&amp;query=any,contains,991004335959702656","Catalog Record")</f>
        <v/>
      </c>
      <c r="AV788">
        <f>HYPERLINK("http://www.worldcat.org/oclc/425178","WorldCat Record")</f>
        <v/>
      </c>
      <c r="AW788" t="inlineStr">
        <is>
          <t>1331719:spa</t>
        </is>
      </c>
      <c r="AX788" t="inlineStr">
        <is>
          <t>425178</t>
        </is>
      </c>
      <c r="AY788" t="inlineStr">
        <is>
          <t>991004335959702656</t>
        </is>
      </c>
      <c r="AZ788" t="inlineStr">
        <is>
          <t>991004335959702656</t>
        </is>
      </c>
      <c r="BA788" t="inlineStr">
        <is>
          <t>2267957820002656</t>
        </is>
      </c>
      <c r="BB788" t="inlineStr">
        <is>
          <t>BOOK</t>
        </is>
      </c>
      <c r="BE788" t="inlineStr">
        <is>
          <t>32285004928270</t>
        </is>
      </c>
      <c r="BF788" t="inlineStr">
        <is>
          <t>893628103</t>
        </is>
      </c>
    </row>
    <row r="789">
      <c r="A789" t="inlineStr">
        <is>
          <t>No</t>
        </is>
      </c>
      <c r="B789" t="inlineStr">
        <is>
          <t>CURAL</t>
        </is>
      </c>
      <c r="C789" t="inlineStr">
        <is>
          <t>SHELVES</t>
        </is>
      </c>
      <c r="D789" t="inlineStr">
        <is>
          <t>PQ7081 .S36 1983</t>
        </is>
      </c>
      <c r="E789" t="inlineStr">
        <is>
          <t>0                      PQ 7081000S  36          1983</t>
        </is>
      </c>
      <c r="F789" t="inlineStr">
        <is>
          <t>Reescrituras / Juan Carlos Santaella.</t>
        </is>
      </c>
      <c r="H789" t="inlineStr">
        <is>
          <t>No</t>
        </is>
      </c>
      <c r="I789" t="inlineStr">
        <is>
          <t>1</t>
        </is>
      </c>
      <c r="J789" t="inlineStr">
        <is>
          <t>No</t>
        </is>
      </c>
      <c r="K789" t="inlineStr">
        <is>
          <t>No</t>
        </is>
      </c>
      <c r="L789" t="inlineStr">
        <is>
          <t>0</t>
        </is>
      </c>
      <c r="M789" t="inlineStr">
        <is>
          <t>Santaella, Juan Carlos, 1956-</t>
        </is>
      </c>
      <c r="N789" t="inlineStr">
        <is>
          <t>Caracas : Academia Nacional de la Historia, 1983.</t>
        </is>
      </c>
      <c r="O789" t="inlineStr">
        <is>
          <t>1983</t>
        </is>
      </c>
      <c r="Q789" t="inlineStr">
        <is>
          <t>spa</t>
        </is>
      </c>
      <c r="R789" t="inlineStr">
        <is>
          <t xml:space="preserve">ve </t>
        </is>
      </c>
      <c r="S789" t="inlineStr">
        <is>
          <t>El Libro menor ; 39</t>
        </is>
      </c>
      <c r="T789" t="inlineStr">
        <is>
          <t xml:space="preserve">PQ </t>
        </is>
      </c>
      <c r="U789" t="n">
        <v>1</v>
      </c>
      <c r="V789" t="n">
        <v>1</v>
      </c>
      <c r="W789" t="inlineStr">
        <is>
          <t>2004-08-05</t>
        </is>
      </c>
      <c r="X789" t="inlineStr">
        <is>
          <t>2004-08-05</t>
        </is>
      </c>
      <c r="Y789" t="inlineStr">
        <is>
          <t>2004-08-05</t>
        </is>
      </c>
      <c r="Z789" t="inlineStr">
        <is>
          <t>2004-08-05</t>
        </is>
      </c>
      <c r="AA789" t="n">
        <v>33</v>
      </c>
      <c r="AB789" t="n">
        <v>27</v>
      </c>
      <c r="AC789" t="n">
        <v>29</v>
      </c>
      <c r="AD789" t="n">
        <v>1</v>
      </c>
      <c r="AE789" t="n">
        <v>1</v>
      </c>
      <c r="AF789" t="n">
        <v>2</v>
      </c>
      <c r="AG789" t="n">
        <v>2</v>
      </c>
      <c r="AH789" t="n">
        <v>0</v>
      </c>
      <c r="AI789" t="n">
        <v>0</v>
      </c>
      <c r="AJ789" t="n">
        <v>2</v>
      </c>
      <c r="AK789" t="n">
        <v>2</v>
      </c>
      <c r="AL789" t="n">
        <v>1</v>
      </c>
      <c r="AM789" t="n">
        <v>1</v>
      </c>
      <c r="AN789" t="n">
        <v>0</v>
      </c>
      <c r="AO789" t="n">
        <v>0</v>
      </c>
      <c r="AP789" t="n">
        <v>0</v>
      </c>
      <c r="AQ789" t="n">
        <v>0</v>
      </c>
      <c r="AR789" t="inlineStr">
        <is>
          <t>No</t>
        </is>
      </c>
      <c r="AS789" t="inlineStr">
        <is>
          <t>Yes</t>
        </is>
      </c>
      <c r="AT789">
        <f>HYPERLINK("http://catalog.hathitrust.org/Record/006712061","HathiTrust Record")</f>
        <v/>
      </c>
      <c r="AU789">
        <f>HYPERLINK("https://creighton-primo.hosted.exlibrisgroup.com/primo-explore/search?tab=default_tab&amp;search_scope=EVERYTHING&amp;vid=01CRU&amp;lang=en_US&amp;offset=0&amp;query=any,contains,991004340179702656","Catalog Record")</f>
        <v/>
      </c>
      <c r="AV789">
        <f>HYPERLINK("http://www.worldcat.org/oclc/14698472","WorldCat Record")</f>
        <v/>
      </c>
      <c r="AW789" t="inlineStr">
        <is>
          <t>9254918:spa</t>
        </is>
      </c>
      <c r="AX789" t="inlineStr">
        <is>
          <t>14698472</t>
        </is>
      </c>
      <c r="AY789" t="inlineStr">
        <is>
          <t>991004340179702656</t>
        </is>
      </c>
      <c r="AZ789" t="inlineStr">
        <is>
          <t>991004340179702656</t>
        </is>
      </c>
      <c r="BA789" t="inlineStr">
        <is>
          <t>2259807330002656</t>
        </is>
      </c>
      <c r="BB789" t="inlineStr">
        <is>
          <t>BOOK</t>
        </is>
      </c>
      <c r="BE789" t="inlineStr">
        <is>
          <t>32285004928932</t>
        </is>
      </c>
      <c r="BF789" t="inlineStr">
        <is>
          <t>893429940</t>
        </is>
      </c>
    </row>
    <row r="790">
      <c r="A790" t="inlineStr">
        <is>
          <t>No</t>
        </is>
      </c>
      <c r="B790" t="inlineStr">
        <is>
          <t>CURAL</t>
        </is>
      </c>
      <c r="C790" t="inlineStr">
        <is>
          <t>SHELVES</t>
        </is>
      </c>
      <c r="D790" t="inlineStr">
        <is>
          <t>PQ7081 .T63 1960</t>
        </is>
      </c>
      <c r="E790" t="inlineStr">
        <is>
          <t>0                      PQ 7081000T  63          1960</t>
        </is>
      </c>
      <c r="F790" t="inlineStr">
        <is>
          <t>Temas literarios hispanoamericanos / Mario Torrealba Lossi.</t>
        </is>
      </c>
      <c r="H790" t="inlineStr">
        <is>
          <t>No</t>
        </is>
      </c>
      <c r="I790" t="inlineStr">
        <is>
          <t>1</t>
        </is>
      </c>
      <c r="J790" t="inlineStr">
        <is>
          <t>No</t>
        </is>
      </c>
      <c r="K790" t="inlineStr">
        <is>
          <t>No</t>
        </is>
      </c>
      <c r="L790" t="inlineStr">
        <is>
          <t>0</t>
        </is>
      </c>
      <c r="M790" t="inlineStr">
        <is>
          <t>Torrealba Lossi, Mario.</t>
        </is>
      </c>
      <c r="N790" t="inlineStr">
        <is>
          <t>Caracas : Tip. Vargas, 1960.</t>
        </is>
      </c>
      <c r="O790" t="inlineStr">
        <is>
          <t>1960</t>
        </is>
      </c>
      <c r="Q790" t="inlineStr">
        <is>
          <t>spa</t>
        </is>
      </c>
      <c r="R790" t="inlineStr">
        <is>
          <t xml:space="preserve">ve </t>
        </is>
      </c>
      <c r="T790" t="inlineStr">
        <is>
          <t xml:space="preserve">PQ </t>
        </is>
      </c>
      <c r="U790" t="n">
        <v>1</v>
      </c>
      <c r="V790" t="n">
        <v>1</v>
      </c>
      <c r="W790" t="inlineStr">
        <is>
          <t>2004-08-03</t>
        </is>
      </c>
      <c r="X790" t="inlineStr">
        <is>
          <t>2004-08-03</t>
        </is>
      </c>
      <c r="Y790" t="inlineStr">
        <is>
          <t>2004-08-03</t>
        </is>
      </c>
      <c r="Z790" t="inlineStr">
        <is>
          <t>2004-08-03</t>
        </is>
      </c>
      <c r="AA790" t="n">
        <v>29</v>
      </c>
      <c r="AB790" t="n">
        <v>25</v>
      </c>
      <c r="AC790" t="n">
        <v>27</v>
      </c>
      <c r="AD790" t="n">
        <v>1</v>
      </c>
      <c r="AE790" t="n">
        <v>1</v>
      </c>
      <c r="AF790" t="n">
        <v>0</v>
      </c>
      <c r="AG790" t="n">
        <v>0</v>
      </c>
      <c r="AH790" t="n">
        <v>0</v>
      </c>
      <c r="AI790" t="n">
        <v>0</v>
      </c>
      <c r="AJ790" t="n">
        <v>0</v>
      </c>
      <c r="AK790" t="n">
        <v>0</v>
      </c>
      <c r="AL790" t="n">
        <v>0</v>
      </c>
      <c r="AM790" t="n">
        <v>0</v>
      </c>
      <c r="AN790" t="n">
        <v>0</v>
      </c>
      <c r="AO790" t="n">
        <v>0</v>
      </c>
      <c r="AP790" t="n">
        <v>0</v>
      </c>
      <c r="AQ790" t="n">
        <v>0</v>
      </c>
      <c r="AR790" t="inlineStr">
        <is>
          <t>No</t>
        </is>
      </c>
      <c r="AS790" t="inlineStr">
        <is>
          <t>Yes</t>
        </is>
      </c>
      <c r="AT790">
        <f>HYPERLINK("http://catalog.hathitrust.org/Record/006712062","HathiTrust Record")</f>
        <v/>
      </c>
      <c r="AU790">
        <f>HYPERLINK("https://creighton-primo.hosted.exlibrisgroup.com/primo-explore/search?tab=default_tab&amp;search_scope=EVERYTHING&amp;vid=01CRU&amp;lang=en_US&amp;offset=0&amp;query=any,contains,991004334699702656","Catalog Record")</f>
        <v/>
      </c>
      <c r="AV790">
        <f>HYPERLINK("http://www.worldcat.org/oclc/2470136","WorldCat Record")</f>
        <v/>
      </c>
      <c r="AW790" t="inlineStr">
        <is>
          <t>5067515:spa</t>
        </is>
      </c>
      <c r="AX790" t="inlineStr">
        <is>
          <t>2470136</t>
        </is>
      </c>
      <c r="AY790" t="inlineStr">
        <is>
          <t>991004334699702656</t>
        </is>
      </c>
      <c r="AZ790" t="inlineStr">
        <is>
          <t>991004334699702656</t>
        </is>
      </c>
      <c r="BA790" t="inlineStr">
        <is>
          <t>2256491170002656</t>
        </is>
      </c>
      <c r="BB790" t="inlineStr">
        <is>
          <t>BOOK</t>
        </is>
      </c>
      <c r="BE790" t="inlineStr">
        <is>
          <t>32285004927850</t>
        </is>
      </c>
      <c r="BF790" t="inlineStr">
        <is>
          <t>893436164</t>
        </is>
      </c>
    </row>
    <row r="791">
      <c r="A791" t="inlineStr">
        <is>
          <t>No</t>
        </is>
      </c>
      <c r="B791" t="inlineStr">
        <is>
          <t>CURAL</t>
        </is>
      </c>
      <c r="C791" t="inlineStr">
        <is>
          <t>SHELVES</t>
        </is>
      </c>
      <c r="D791" t="inlineStr">
        <is>
          <t>PQ7081 .T73</t>
        </is>
      </c>
      <c r="E791" t="inlineStr">
        <is>
          <t>0                      PQ 7081000T  73</t>
        </is>
      </c>
      <c r="F791" t="inlineStr">
        <is>
          <t>The epic of Latin American literature / [by] Arturo Torres-Ríoseco.</t>
        </is>
      </c>
      <c r="H791" t="inlineStr">
        <is>
          <t>No</t>
        </is>
      </c>
      <c r="I791" t="inlineStr">
        <is>
          <t>1</t>
        </is>
      </c>
      <c r="J791" t="inlineStr">
        <is>
          <t>No</t>
        </is>
      </c>
      <c r="K791" t="inlineStr">
        <is>
          <t>No</t>
        </is>
      </c>
      <c r="L791" t="inlineStr">
        <is>
          <t>0</t>
        </is>
      </c>
      <c r="M791" t="inlineStr">
        <is>
          <t>Torres-Rioseco, Arturo, 1897-1971.</t>
        </is>
      </c>
      <c r="N791" t="inlineStr">
        <is>
          <t>New York ; London : Oxford University Press, 1942.</t>
        </is>
      </c>
      <c r="O791" t="inlineStr">
        <is>
          <t>1942</t>
        </is>
      </c>
      <c r="Q791" t="inlineStr">
        <is>
          <t>eng</t>
        </is>
      </c>
      <c r="R791" t="inlineStr">
        <is>
          <t>nyu</t>
        </is>
      </c>
      <c r="T791" t="inlineStr">
        <is>
          <t xml:space="preserve">PQ </t>
        </is>
      </c>
      <c r="U791" t="n">
        <v>3</v>
      </c>
      <c r="V791" t="n">
        <v>3</v>
      </c>
      <c r="W791" t="inlineStr">
        <is>
          <t>1999-03-10</t>
        </is>
      </c>
      <c r="X791" t="inlineStr">
        <is>
          <t>1999-03-10</t>
        </is>
      </c>
      <c r="Y791" t="inlineStr">
        <is>
          <t>1994-04-29</t>
        </is>
      </c>
      <c r="Z791" t="inlineStr">
        <is>
          <t>1994-04-29</t>
        </is>
      </c>
      <c r="AA791" t="n">
        <v>513</v>
      </c>
      <c r="AB791" t="n">
        <v>494</v>
      </c>
      <c r="AC791" t="n">
        <v>1196</v>
      </c>
      <c r="AD791" t="n">
        <v>5</v>
      </c>
      <c r="AE791" t="n">
        <v>8</v>
      </c>
      <c r="AF791" t="n">
        <v>21</v>
      </c>
      <c r="AG791" t="n">
        <v>50</v>
      </c>
      <c r="AH791" t="n">
        <v>7</v>
      </c>
      <c r="AI791" t="n">
        <v>23</v>
      </c>
      <c r="AJ791" t="n">
        <v>5</v>
      </c>
      <c r="AK791" t="n">
        <v>10</v>
      </c>
      <c r="AL791" t="n">
        <v>9</v>
      </c>
      <c r="AM791" t="n">
        <v>23</v>
      </c>
      <c r="AN791" t="n">
        <v>4</v>
      </c>
      <c r="AO791" t="n">
        <v>7</v>
      </c>
      <c r="AP791" t="n">
        <v>0</v>
      </c>
      <c r="AQ791" t="n">
        <v>0</v>
      </c>
      <c r="AR791" t="inlineStr">
        <is>
          <t>No</t>
        </is>
      </c>
      <c r="AS791" t="inlineStr">
        <is>
          <t>Yes</t>
        </is>
      </c>
      <c r="AT791">
        <f>HYPERLINK("http://catalog.hathitrust.org/Record/001049127","HathiTrust Record")</f>
        <v/>
      </c>
      <c r="AU791">
        <f>HYPERLINK("https://creighton-primo.hosted.exlibrisgroup.com/primo-explore/search?tab=default_tab&amp;search_scope=EVERYTHING&amp;vid=01CRU&amp;lang=en_US&amp;offset=0&amp;query=any,contains,991004159639702656","Catalog Record")</f>
        <v/>
      </c>
      <c r="AV791">
        <f>HYPERLINK("http://www.worldcat.org/oclc/2546377","WorldCat Record")</f>
        <v/>
      </c>
      <c r="AW791" t="inlineStr">
        <is>
          <t>1341356:eng</t>
        </is>
      </c>
      <c r="AX791" t="inlineStr">
        <is>
          <t>2546377</t>
        </is>
      </c>
      <c r="AY791" t="inlineStr">
        <is>
          <t>991004159639702656</t>
        </is>
      </c>
      <c r="AZ791" t="inlineStr">
        <is>
          <t>991004159639702656</t>
        </is>
      </c>
      <c r="BA791" t="inlineStr">
        <is>
          <t>2270103250002656</t>
        </is>
      </c>
      <c r="BB791" t="inlineStr">
        <is>
          <t>BOOK</t>
        </is>
      </c>
      <c r="BE791" t="inlineStr">
        <is>
          <t>32285001905057</t>
        </is>
      </c>
      <c r="BF791" t="inlineStr">
        <is>
          <t>893618323</t>
        </is>
      </c>
    </row>
    <row r="792">
      <c r="A792" t="inlineStr">
        <is>
          <t>No</t>
        </is>
      </c>
      <c r="B792" t="inlineStr">
        <is>
          <t>CURAL</t>
        </is>
      </c>
      <c r="C792" t="inlineStr">
        <is>
          <t>SHELVES</t>
        </is>
      </c>
      <c r="D792" t="inlineStr">
        <is>
          <t>PQ7081 .V3 1969</t>
        </is>
      </c>
      <c r="E792" t="inlineStr">
        <is>
          <t>0                      PQ 7081000V  3           1969</t>
        </is>
      </c>
      <c r="F792" t="inlineStr">
        <is>
          <t>Literatura hispanoamericana / A. Valbuena Briones.</t>
        </is>
      </c>
      <c r="H792" t="inlineStr">
        <is>
          <t>No</t>
        </is>
      </c>
      <c r="I792" t="inlineStr">
        <is>
          <t>1</t>
        </is>
      </c>
      <c r="J792" t="inlineStr">
        <is>
          <t>No</t>
        </is>
      </c>
      <c r="K792" t="inlineStr">
        <is>
          <t>No</t>
        </is>
      </c>
      <c r="L792" t="inlineStr">
        <is>
          <t>0</t>
        </is>
      </c>
      <c r="M792" t="inlineStr">
        <is>
          <t>Valbuena Briones, Angel.</t>
        </is>
      </c>
      <c r="N792" t="inlineStr">
        <is>
          <t>Barcelona, G. Gili, 1969.</t>
        </is>
      </c>
      <c r="O792" t="inlineStr">
        <is>
          <t>1969</t>
        </is>
      </c>
      <c r="P792" t="inlineStr">
        <is>
          <t>4a. ed., ampliada.</t>
        </is>
      </c>
      <c r="Q792" t="inlineStr">
        <is>
          <t>eng</t>
        </is>
      </c>
      <c r="R792" t="inlineStr">
        <is>
          <t xml:space="preserve">sp </t>
        </is>
      </c>
      <c r="T792" t="inlineStr">
        <is>
          <t xml:space="preserve">PQ </t>
        </is>
      </c>
      <c r="U792" t="n">
        <v>1</v>
      </c>
      <c r="V792" t="n">
        <v>1</v>
      </c>
      <c r="W792" t="inlineStr">
        <is>
          <t>2001-12-10</t>
        </is>
      </c>
      <c r="X792" t="inlineStr">
        <is>
          <t>2001-12-10</t>
        </is>
      </c>
      <c r="Y792" t="inlineStr">
        <is>
          <t>2001-12-10</t>
        </is>
      </c>
      <c r="Z792" t="inlineStr">
        <is>
          <t>2001-12-10</t>
        </is>
      </c>
      <c r="AA792" t="n">
        <v>57</v>
      </c>
      <c r="AB792" t="n">
        <v>50</v>
      </c>
      <c r="AC792" t="n">
        <v>52</v>
      </c>
      <c r="AD792" t="n">
        <v>1</v>
      </c>
      <c r="AE792" t="n">
        <v>1</v>
      </c>
      <c r="AF792" t="n">
        <v>0</v>
      </c>
      <c r="AG792" t="n">
        <v>0</v>
      </c>
      <c r="AH792" t="n">
        <v>0</v>
      </c>
      <c r="AI792" t="n">
        <v>0</v>
      </c>
      <c r="AJ792" t="n">
        <v>0</v>
      </c>
      <c r="AK792" t="n">
        <v>0</v>
      </c>
      <c r="AL792" t="n">
        <v>0</v>
      </c>
      <c r="AM792" t="n">
        <v>0</v>
      </c>
      <c r="AN792" t="n">
        <v>0</v>
      </c>
      <c r="AO792" t="n">
        <v>0</v>
      </c>
      <c r="AP792" t="n">
        <v>0</v>
      </c>
      <c r="AQ792" t="n">
        <v>0</v>
      </c>
      <c r="AR792" t="inlineStr">
        <is>
          <t>No</t>
        </is>
      </c>
      <c r="AS792" t="inlineStr">
        <is>
          <t>Yes</t>
        </is>
      </c>
      <c r="AT792">
        <f>HYPERLINK("http://catalog.hathitrust.org/Record/009918303","HathiTrust Record")</f>
        <v/>
      </c>
      <c r="AU792">
        <f>HYPERLINK("https://creighton-primo.hosted.exlibrisgroup.com/primo-explore/search?tab=default_tab&amp;search_scope=EVERYTHING&amp;vid=01CRU&amp;lang=en_US&amp;offset=0&amp;query=any,contains,991003693639702656","Catalog Record")</f>
        <v/>
      </c>
      <c r="AV792">
        <f>HYPERLINK("http://www.worldcat.org/oclc/500763","WorldCat Record")</f>
        <v/>
      </c>
      <c r="AW792" t="inlineStr">
        <is>
          <t>8909746247:eng</t>
        </is>
      </c>
      <c r="AX792" t="inlineStr">
        <is>
          <t>500763</t>
        </is>
      </c>
      <c r="AY792" t="inlineStr">
        <is>
          <t>991003693639702656</t>
        </is>
      </c>
      <c r="AZ792" t="inlineStr">
        <is>
          <t>991003693639702656</t>
        </is>
      </c>
      <c r="BA792" t="inlineStr">
        <is>
          <t>2255208990002656</t>
        </is>
      </c>
      <c r="BB792" t="inlineStr">
        <is>
          <t>BOOK</t>
        </is>
      </c>
      <c r="BE792" t="inlineStr">
        <is>
          <t>32285004427273</t>
        </is>
      </c>
      <c r="BF792" t="inlineStr">
        <is>
          <t>893605085</t>
        </is>
      </c>
    </row>
    <row r="793">
      <c r="A793" t="inlineStr">
        <is>
          <t>No</t>
        </is>
      </c>
      <c r="B793" t="inlineStr">
        <is>
          <t>CURAL</t>
        </is>
      </c>
      <c r="C793" t="inlineStr">
        <is>
          <t>SHELVES</t>
        </is>
      </c>
      <c r="D793" t="inlineStr">
        <is>
          <t>PQ7081.A1 D53 1993</t>
        </is>
      </c>
      <c r="E793" t="inlineStr">
        <is>
          <t>0                      PQ 7081000A  1                  D  53          1993</t>
        </is>
      </c>
      <c r="F793" t="inlineStr">
        <is>
          <t>Diosas, musas y mujeres / V. Acosta ... [et al.].</t>
        </is>
      </c>
      <c r="H793" t="inlineStr">
        <is>
          <t>No</t>
        </is>
      </c>
      <c r="I793" t="inlineStr">
        <is>
          <t>1</t>
        </is>
      </c>
      <c r="J793" t="inlineStr">
        <is>
          <t>No</t>
        </is>
      </c>
      <c r="K793" t="inlineStr">
        <is>
          <t>No</t>
        </is>
      </c>
      <c r="L793" t="inlineStr">
        <is>
          <t>0</t>
        </is>
      </c>
      <c r="N793" t="inlineStr">
        <is>
          <t>Caracas : Monte Avila Editores Latinoamericana, 1993.</t>
        </is>
      </c>
      <c r="O793" t="inlineStr">
        <is>
          <t>1993</t>
        </is>
      </c>
      <c r="P793" t="inlineStr">
        <is>
          <t>1a. ed.</t>
        </is>
      </c>
      <c r="Q793" t="inlineStr">
        <is>
          <t>spa</t>
        </is>
      </c>
      <c r="R793" t="inlineStr">
        <is>
          <t xml:space="preserve">ve </t>
        </is>
      </c>
      <c r="S793" t="inlineStr">
        <is>
          <t>Documentos</t>
        </is>
      </c>
      <c r="T793" t="inlineStr">
        <is>
          <t xml:space="preserve">PQ </t>
        </is>
      </c>
      <c r="U793" t="n">
        <v>2</v>
      </c>
      <c r="V793" t="n">
        <v>2</v>
      </c>
      <c r="W793" t="inlineStr">
        <is>
          <t>2002-05-22</t>
        </is>
      </c>
      <c r="X793" t="inlineStr">
        <is>
          <t>2002-05-22</t>
        </is>
      </c>
      <c r="Y793" t="inlineStr">
        <is>
          <t>2002-05-16</t>
        </is>
      </c>
      <c r="Z793" t="inlineStr">
        <is>
          <t>2002-05-16</t>
        </is>
      </c>
      <c r="AA793" t="n">
        <v>55</v>
      </c>
      <c r="AB793" t="n">
        <v>45</v>
      </c>
      <c r="AC793" t="n">
        <v>52</v>
      </c>
      <c r="AD793" t="n">
        <v>1</v>
      </c>
      <c r="AE793" t="n">
        <v>1</v>
      </c>
      <c r="AF793" t="n">
        <v>1</v>
      </c>
      <c r="AG793" t="n">
        <v>1</v>
      </c>
      <c r="AH793" t="n">
        <v>0</v>
      </c>
      <c r="AI793" t="n">
        <v>0</v>
      </c>
      <c r="AJ793" t="n">
        <v>1</v>
      </c>
      <c r="AK793" t="n">
        <v>1</v>
      </c>
      <c r="AL793" t="n">
        <v>0</v>
      </c>
      <c r="AM793" t="n">
        <v>0</v>
      </c>
      <c r="AN793" t="n">
        <v>0</v>
      </c>
      <c r="AO793" t="n">
        <v>0</v>
      </c>
      <c r="AP793" t="n">
        <v>0</v>
      </c>
      <c r="AQ793" t="n">
        <v>0</v>
      </c>
      <c r="AR793" t="inlineStr">
        <is>
          <t>No</t>
        </is>
      </c>
      <c r="AS793" t="inlineStr">
        <is>
          <t>Yes</t>
        </is>
      </c>
      <c r="AT793">
        <f>HYPERLINK("http://catalog.hathitrust.org/Record/101095522","HathiTrust Record")</f>
        <v/>
      </c>
      <c r="AU793">
        <f>HYPERLINK("https://creighton-primo.hosted.exlibrisgroup.com/primo-explore/search?tab=default_tab&amp;search_scope=EVERYTHING&amp;vid=01CRU&amp;lang=en_US&amp;offset=0&amp;query=any,contains,991003811039702656","Catalog Record")</f>
        <v/>
      </c>
      <c r="AV793">
        <f>HYPERLINK("http://www.worldcat.org/oclc/32394903","WorldCat Record")</f>
        <v/>
      </c>
      <c r="AW793" t="inlineStr">
        <is>
          <t>476707198:spa</t>
        </is>
      </c>
      <c r="AX793" t="inlineStr">
        <is>
          <t>32394903</t>
        </is>
      </c>
      <c r="AY793" t="inlineStr">
        <is>
          <t>991003811039702656</t>
        </is>
      </c>
      <c r="AZ793" t="inlineStr">
        <is>
          <t>991003811039702656</t>
        </is>
      </c>
      <c r="BA793" t="inlineStr">
        <is>
          <t>2257056260002656</t>
        </is>
      </c>
      <c r="BB793" t="inlineStr">
        <is>
          <t>BOOK</t>
        </is>
      </c>
      <c r="BD793" t="inlineStr">
        <is>
          <t>9789800106624</t>
        </is>
      </c>
      <c r="BE793" t="inlineStr">
        <is>
          <t>32285004489182</t>
        </is>
      </c>
      <c r="BF793" t="inlineStr">
        <is>
          <t>893617798</t>
        </is>
      </c>
    </row>
    <row r="794">
      <c r="A794" t="inlineStr">
        <is>
          <t>No</t>
        </is>
      </c>
      <c r="B794" t="inlineStr">
        <is>
          <t>CURAL</t>
        </is>
      </c>
      <c r="C794" t="inlineStr">
        <is>
          <t>SHELVES</t>
        </is>
      </c>
      <c r="D794" t="inlineStr">
        <is>
          <t>PQ7081.A1 I524 1987</t>
        </is>
      </c>
      <c r="E794" t="inlineStr">
        <is>
          <t>0                      PQ 7081000A  1                  I  524         1987</t>
        </is>
      </c>
      <c r="F794" t="inlineStr">
        <is>
          <t>In retrospect : essays on Latin American literature : (in memory of Willis Knapp Jones) / edited by Elizabeth S. Rogers and Timothy J. Rogers.</t>
        </is>
      </c>
      <c r="H794" t="inlineStr">
        <is>
          <t>No</t>
        </is>
      </c>
      <c r="I794" t="inlineStr">
        <is>
          <t>1</t>
        </is>
      </c>
      <c r="J794" t="inlineStr">
        <is>
          <t>No</t>
        </is>
      </c>
      <c r="K794" t="inlineStr">
        <is>
          <t>No</t>
        </is>
      </c>
      <c r="L794" t="inlineStr">
        <is>
          <t>0</t>
        </is>
      </c>
      <c r="N794" t="inlineStr">
        <is>
          <t>York, S.C. : Spanish Literature Publications Co., 1987.</t>
        </is>
      </c>
      <c r="O794" t="inlineStr">
        <is>
          <t>1987</t>
        </is>
      </c>
      <c r="Q794" t="inlineStr">
        <is>
          <t>eng</t>
        </is>
      </c>
      <c r="R794" t="inlineStr">
        <is>
          <t>scu</t>
        </is>
      </c>
      <c r="T794" t="inlineStr">
        <is>
          <t xml:space="preserve">PQ </t>
        </is>
      </c>
      <c r="U794" t="n">
        <v>1</v>
      </c>
      <c r="V794" t="n">
        <v>1</v>
      </c>
      <c r="W794" t="inlineStr">
        <is>
          <t>2003-04-16</t>
        </is>
      </c>
      <c r="X794" t="inlineStr">
        <is>
          <t>2003-04-16</t>
        </is>
      </c>
      <c r="Y794" t="inlineStr">
        <is>
          <t>2003-04-16</t>
        </is>
      </c>
      <c r="Z794" t="inlineStr">
        <is>
          <t>2003-04-16</t>
        </is>
      </c>
      <c r="AA794" t="n">
        <v>163</v>
      </c>
      <c r="AB794" t="n">
        <v>136</v>
      </c>
      <c r="AC794" t="n">
        <v>143</v>
      </c>
      <c r="AD794" t="n">
        <v>1</v>
      </c>
      <c r="AE794" t="n">
        <v>1</v>
      </c>
      <c r="AF794" t="n">
        <v>4</v>
      </c>
      <c r="AG794" t="n">
        <v>4</v>
      </c>
      <c r="AH794" t="n">
        <v>2</v>
      </c>
      <c r="AI794" t="n">
        <v>2</v>
      </c>
      <c r="AJ794" t="n">
        <v>0</v>
      </c>
      <c r="AK794" t="n">
        <v>0</v>
      </c>
      <c r="AL794" t="n">
        <v>2</v>
      </c>
      <c r="AM794" t="n">
        <v>2</v>
      </c>
      <c r="AN794" t="n">
        <v>0</v>
      </c>
      <c r="AO794" t="n">
        <v>0</v>
      </c>
      <c r="AP794" t="n">
        <v>0</v>
      </c>
      <c r="AQ794" t="n">
        <v>0</v>
      </c>
      <c r="AR794" t="inlineStr">
        <is>
          <t>No</t>
        </is>
      </c>
      <c r="AS794" t="inlineStr">
        <is>
          <t>Yes</t>
        </is>
      </c>
      <c r="AT794">
        <f>HYPERLINK("http://catalog.hathitrust.org/Record/101095551","HathiTrust Record")</f>
        <v/>
      </c>
      <c r="AU794">
        <f>HYPERLINK("https://creighton-primo.hosted.exlibrisgroup.com/primo-explore/search?tab=default_tab&amp;search_scope=EVERYTHING&amp;vid=01CRU&amp;lang=en_US&amp;offset=0&amp;query=any,contains,991004027819702656","Catalog Record")</f>
        <v/>
      </c>
      <c r="AV794">
        <f>HYPERLINK("http://www.worldcat.org/oclc/16828368","WorldCat Record")</f>
        <v/>
      </c>
      <c r="AW794" t="inlineStr">
        <is>
          <t>908033677:eng</t>
        </is>
      </c>
      <c r="AX794" t="inlineStr">
        <is>
          <t>16828368</t>
        </is>
      </c>
      <c r="AY794" t="inlineStr">
        <is>
          <t>991004027819702656</t>
        </is>
      </c>
      <c r="AZ794" t="inlineStr">
        <is>
          <t>991004027819702656</t>
        </is>
      </c>
      <c r="BA794" t="inlineStr">
        <is>
          <t>2265334190002656</t>
        </is>
      </c>
      <c r="BB794" t="inlineStr">
        <is>
          <t>BOOK</t>
        </is>
      </c>
      <c r="BD794" t="inlineStr">
        <is>
          <t>9780938972105</t>
        </is>
      </c>
      <c r="BE794" t="inlineStr">
        <is>
          <t>32285004742846</t>
        </is>
      </c>
      <c r="BF794" t="inlineStr">
        <is>
          <t>893900703</t>
        </is>
      </c>
    </row>
    <row r="795">
      <c r="A795" t="inlineStr">
        <is>
          <t>No</t>
        </is>
      </c>
      <c r="B795" t="inlineStr">
        <is>
          <t>CURAL</t>
        </is>
      </c>
      <c r="C795" t="inlineStr">
        <is>
          <t>SHELVES</t>
        </is>
      </c>
      <c r="D795" t="inlineStr">
        <is>
          <t>PQ7081.A1 I53 1987</t>
        </is>
      </c>
      <c r="E795" t="inlineStr">
        <is>
          <t>0                      PQ 7081000A  1                  I  53          1987</t>
        </is>
      </c>
      <c r="F795" t="inlineStr">
        <is>
          <t>La historia en la literatura iberoamericana : memorias del XXVI Congreso del Instituto Internacional de Literatura Iberoamericana / edición, compilación y prólogo de Raquel Chang-Rodríguez y Gabriella de Beer.</t>
        </is>
      </c>
      <c r="G795" t="inlineStr">
        <is>
          <t>V.1</t>
        </is>
      </c>
      <c r="H795" t="inlineStr">
        <is>
          <t>No</t>
        </is>
      </c>
      <c r="I795" t="inlineStr">
        <is>
          <t>1</t>
        </is>
      </c>
      <c r="J795" t="inlineStr">
        <is>
          <t>No</t>
        </is>
      </c>
      <c r="K795" t="inlineStr">
        <is>
          <t>No</t>
        </is>
      </c>
      <c r="L795" t="inlineStr">
        <is>
          <t>0</t>
        </is>
      </c>
      <c r="M795" t="inlineStr">
        <is>
          <t>Congreso Internacional de Literatura Iberoamericana (26th : 1987 : City College of New York)</t>
        </is>
      </c>
      <c r="N795" t="inlineStr">
        <is>
          <t>New York, NY : City College of the City University of New York ; Hanover, NH : Ediciones del Norte, 1989-</t>
        </is>
      </c>
      <c r="O795" t="inlineStr">
        <is>
          <t>1989</t>
        </is>
      </c>
      <c r="P795" t="inlineStr">
        <is>
          <t>1. ed.</t>
        </is>
      </c>
      <c r="Q795" t="inlineStr">
        <is>
          <t>spa</t>
        </is>
      </c>
      <c r="R795" t="inlineStr">
        <is>
          <t>nyu</t>
        </is>
      </c>
      <c r="S795" t="inlineStr">
        <is>
          <t>The Inca Garcilaso series</t>
        </is>
      </c>
      <c r="T795" t="inlineStr">
        <is>
          <t xml:space="preserve">PQ </t>
        </is>
      </c>
      <c r="U795" t="n">
        <v>8</v>
      </c>
      <c r="V795" t="n">
        <v>8</v>
      </c>
      <c r="W795" t="inlineStr">
        <is>
          <t>2000-11-13</t>
        </is>
      </c>
      <c r="X795" t="inlineStr">
        <is>
          <t>2000-11-13</t>
        </is>
      </c>
      <c r="Y795" t="inlineStr">
        <is>
          <t>1995-10-11</t>
        </is>
      </c>
      <c r="Z795" t="inlineStr">
        <is>
          <t>1995-10-11</t>
        </is>
      </c>
      <c r="AA795" t="n">
        <v>218</v>
      </c>
      <c r="AB795" t="n">
        <v>190</v>
      </c>
      <c r="AC795" t="n">
        <v>201</v>
      </c>
      <c r="AD795" t="n">
        <v>1</v>
      </c>
      <c r="AE795" t="n">
        <v>1</v>
      </c>
      <c r="AF795" t="n">
        <v>8</v>
      </c>
      <c r="AG795" t="n">
        <v>8</v>
      </c>
      <c r="AH795" t="n">
        <v>2</v>
      </c>
      <c r="AI795" t="n">
        <v>2</v>
      </c>
      <c r="AJ795" t="n">
        <v>2</v>
      </c>
      <c r="AK795" t="n">
        <v>2</v>
      </c>
      <c r="AL795" t="n">
        <v>6</v>
      </c>
      <c r="AM795" t="n">
        <v>6</v>
      </c>
      <c r="AN795" t="n">
        <v>0</v>
      </c>
      <c r="AO795" t="n">
        <v>0</v>
      </c>
      <c r="AP795" t="n">
        <v>0</v>
      </c>
      <c r="AQ795" t="n">
        <v>0</v>
      </c>
      <c r="AR795" t="inlineStr">
        <is>
          <t>No</t>
        </is>
      </c>
      <c r="AS795" t="inlineStr">
        <is>
          <t>Yes</t>
        </is>
      </c>
      <c r="AT795">
        <f>HYPERLINK("http://catalog.hathitrust.org/Record/002168794","HathiTrust Record")</f>
        <v/>
      </c>
      <c r="AU795">
        <f>HYPERLINK("https://creighton-primo.hosted.exlibrisgroup.com/primo-explore/search?tab=default_tab&amp;search_scope=EVERYTHING&amp;vid=01CRU&amp;lang=en_US&amp;offset=0&amp;query=any,contains,991002078029702656","Catalog Record")</f>
        <v/>
      </c>
      <c r="AV795">
        <f>HYPERLINK("http://www.worldcat.org/oclc/20289697","WorldCat Record")</f>
        <v/>
      </c>
      <c r="AW795" t="inlineStr">
        <is>
          <t>906230753:spa</t>
        </is>
      </c>
      <c r="AX795" t="inlineStr">
        <is>
          <t>20289697</t>
        </is>
      </c>
      <c r="AY795" t="inlineStr">
        <is>
          <t>991002078029702656</t>
        </is>
      </c>
      <c r="AZ795" t="inlineStr">
        <is>
          <t>991002078029702656</t>
        </is>
      </c>
      <c r="BA795" t="inlineStr">
        <is>
          <t>2262461220002656</t>
        </is>
      </c>
      <c r="BB795" t="inlineStr">
        <is>
          <t>BOOK</t>
        </is>
      </c>
      <c r="BD795" t="inlineStr">
        <is>
          <t>9780910061438</t>
        </is>
      </c>
      <c r="BE795" t="inlineStr">
        <is>
          <t>32285002095783</t>
        </is>
      </c>
      <c r="BF795" t="inlineStr">
        <is>
          <t>893590882</t>
        </is>
      </c>
    </row>
    <row r="796">
      <c r="A796" t="inlineStr">
        <is>
          <t>No</t>
        </is>
      </c>
      <c r="B796" t="inlineStr">
        <is>
          <t>CURAL</t>
        </is>
      </c>
      <c r="C796" t="inlineStr">
        <is>
          <t>SHELVES</t>
        </is>
      </c>
      <c r="D796" t="inlineStr">
        <is>
          <t>PQ7081.A1 V3 1977</t>
        </is>
      </c>
      <c r="E796" t="inlineStr">
        <is>
          <t>0                      PQ 7081000A  1                  V  3           1977</t>
        </is>
      </c>
      <c r="F796" t="inlineStr">
        <is>
          <t>Los Vanguardismos en la América latina / Oscar Collazos.</t>
        </is>
      </c>
      <c r="H796" t="inlineStr">
        <is>
          <t>No</t>
        </is>
      </c>
      <c r="I796" t="inlineStr">
        <is>
          <t>1</t>
        </is>
      </c>
      <c r="J796" t="inlineStr">
        <is>
          <t>No</t>
        </is>
      </c>
      <c r="K796" t="inlineStr">
        <is>
          <t>No</t>
        </is>
      </c>
      <c r="L796" t="inlineStr">
        <is>
          <t>0</t>
        </is>
      </c>
      <c r="N796" t="inlineStr">
        <is>
          <t>Barcelona : Ediciones Península, 1977, c1970.</t>
        </is>
      </c>
      <c r="O796" t="inlineStr">
        <is>
          <t>1977</t>
        </is>
      </c>
      <c r="P796" t="inlineStr">
        <is>
          <t>1. ed.</t>
        </is>
      </c>
      <c r="Q796" t="inlineStr">
        <is>
          <t>spa</t>
        </is>
      </c>
      <c r="R796" t="inlineStr">
        <is>
          <t xml:space="preserve">sp </t>
        </is>
      </c>
      <c r="S796" t="inlineStr">
        <is>
          <t>Ediciones de bolsillo ; 496 : Ciencias humanas : Estética</t>
        </is>
      </c>
      <c r="T796" t="inlineStr">
        <is>
          <t xml:space="preserve">PQ </t>
        </is>
      </c>
      <c r="U796" t="n">
        <v>2</v>
      </c>
      <c r="V796" t="n">
        <v>2</v>
      </c>
      <c r="W796" t="inlineStr">
        <is>
          <t>2004-08-05</t>
        </is>
      </c>
      <c r="X796" t="inlineStr">
        <is>
          <t>2004-08-05</t>
        </is>
      </c>
      <c r="Y796" t="inlineStr">
        <is>
          <t>2004-08-05</t>
        </is>
      </c>
      <c r="Z796" t="inlineStr">
        <is>
          <t>2004-08-05</t>
        </is>
      </c>
      <c r="AA796" t="n">
        <v>198</v>
      </c>
      <c r="AB796" t="n">
        <v>140</v>
      </c>
      <c r="AC796" t="n">
        <v>141</v>
      </c>
      <c r="AD796" t="n">
        <v>3</v>
      </c>
      <c r="AE796" t="n">
        <v>3</v>
      </c>
      <c r="AF796" t="n">
        <v>8</v>
      </c>
      <c r="AG796" t="n">
        <v>8</v>
      </c>
      <c r="AH796" t="n">
        <v>2</v>
      </c>
      <c r="AI796" t="n">
        <v>2</v>
      </c>
      <c r="AJ796" t="n">
        <v>2</v>
      </c>
      <c r="AK796" t="n">
        <v>2</v>
      </c>
      <c r="AL796" t="n">
        <v>3</v>
      </c>
      <c r="AM796" t="n">
        <v>3</v>
      </c>
      <c r="AN796" t="n">
        <v>2</v>
      </c>
      <c r="AO796" t="n">
        <v>2</v>
      </c>
      <c r="AP796" t="n">
        <v>0</v>
      </c>
      <c r="AQ796" t="n">
        <v>0</v>
      </c>
      <c r="AR796" t="inlineStr">
        <is>
          <t>No</t>
        </is>
      </c>
      <c r="AS796" t="inlineStr">
        <is>
          <t>No</t>
        </is>
      </c>
      <c r="AU796">
        <f>HYPERLINK("https://creighton-primo.hosted.exlibrisgroup.com/primo-explore/search?tab=default_tab&amp;search_scope=EVERYTHING&amp;vid=01CRU&amp;lang=en_US&amp;offset=0&amp;query=any,contains,991004340019702656","Catalog Record")</f>
        <v/>
      </c>
      <c r="AV796">
        <f>HYPERLINK("http://www.worldcat.org/oclc/3604663","WorldCat Record")</f>
        <v/>
      </c>
      <c r="AW796" t="inlineStr">
        <is>
          <t>365388955:spa</t>
        </is>
      </c>
      <c r="AX796" t="inlineStr">
        <is>
          <t>3604663</t>
        </is>
      </c>
      <c r="AY796" t="inlineStr">
        <is>
          <t>991004340019702656</t>
        </is>
      </c>
      <c r="AZ796" t="inlineStr">
        <is>
          <t>991004340019702656</t>
        </is>
      </c>
      <c r="BA796" t="inlineStr">
        <is>
          <t>2269187560002656</t>
        </is>
      </c>
      <c r="BB796" t="inlineStr">
        <is>
          <t>BOOK</t>
        </is>
      </c>
      <c r="BD796" t="inlineStr">
        <is>
          <t>9788429712728</t>
        </is>
      </c>
      <c r="BE796" t="inlineStr">
        <is>
          <t>32285004929500</t>
        </is>
      </c>
      <c r="BF796" t="inlineStr">
        <is>
          <t>893718793</t>
        </is>
      </c>
    </row>
    <row r="797">
      <c r="A797" t="inlineStr">
        <is>
          <t>No</t>
        </is>
      </c>
      <c r="B797" t="inlineStr">
        <is>
          <t>CURAL</t>
        </is>
      </c>
      <c r="C797" t="inlineStr">
        <is>
          <t>SHELVES</t>
        </is>
      </c>
      <c r="D797" t="inlineStr">
        <is>
          <t>PQ7082.D7 D387 1993</t>
        </is>
      </c>
      <c r="E797" t="inlineStr">
        <is>
          <t>0                      PQ 7082000D  7                  D  387         1993</t>
        </is>
      </c>
      <c r="F797" t="inlineStr">
        <is>
          <t>Perfil generacional del teatro Hispanoamericano (1894-1924) : Chile, México, El Río de la Plata / Frank Dauster.</t>
        </is>
      </c>
      <c r="H797" t="inlineStr">
        <is>
          <t>No</t>
        </is>
      </c>
      <c r="I797" t="inlineStr">
        <is>
          <t>1</t>
        </is>
      </c>
      <c r="J797" t="inlineStr">
        <is>
          <t>No</t>
        </is>
      </c>
      <c r="K797" t="inlineStr">
        <is>
          <t>No</t>
        </is>
      </c>
      <c r="L797" t="inlineStr">
        <is>
          <t>0</t>
        </is>
      </c>
      <c r="M797" t="inlineStr">
        <is>
          <t>Dauster, Frank N.</t>
        </is>
      </c>
      <c r="N797" t="inlineStr">
        <is>
          <t>Ottawa : GIROL Books, 1993.</t>
        </is>
      </c>
      <c r="O797" t="inlineStr">
        <is>
          <t>1993</t>
        </is>
      </c>
      <c r="P797" t="inlineStr">
        <is>
          <t>1a ed.</t>
        </is>
      </c>
      <c r="Q797" t="inlineStr">
        <is>
          <t>spa</t>
        </is>
      </c>
      <c r="R797" t="inlineStr">
        <is>
          <t>onc</t>
        </is>
      </c>
      <c r="S797" t="inlineStr">
        <is>
          <t>Colección Telón. Historia ; 1</t>
        </is>
      </c>
      <c r="T797" t="inlineStr">
        <is>
          <t xml:space="preserve">PQ </t>
        </is>
      </c>
      <c r="U797" t="n">
        <v>1</v>
      </c>
      <c r="V797" t="n">
        <v>1</v>
      </c>
      <c r="W797" t="inlineStr">
        <is>
          <t>2004-03-30</t>
        </is>
      </c>
      <c r="X797" t="inlineStr">
        <is>
          <t>2004-03-30</t>
        </is>
      </c>
      <c r="Y797" t="inlineStr">
        <is>
          <t>2004-03-30</t>
        </is>
      </c>
      <c r="Z797" t="inlineStr">
        <is>
          <t>2004-03-30</t>
        </is>
      </c>
      <c r="AA797" t="n">
        <v>89</v>
      </c>
      <c r="AB797" t="n">
        <v>74</v>
      </c>
      <c r="AC797" t="n">
        <v>75</v>
      </c>
      <c r="AD797" t="n">
        <v>1</v>
      </c>
      <c r="AE797" t="n">
        <v>1</v>
      </c>
      <c r="AF797" t="n">
        <v>2</v>
      </c>
      <c r="AG797" t="n">
        <v>2</v>
      </c>
      <c r="AH797" t="n">
        <v>1</v>
      </c>
      <c r="AI797" t="n">
        <v>1</v>
      </c>
      <c r="AJ797" t="n">
        <v>1</v>
      </c>
      <c r="AK797" t="n">
        <v>1</v>
      </c>
      <c r="AL797" t="n">
        <v>1</v>
      </c>
      <c r="AM797" t="n">
        <v>1</v>
      </c>
      <c r="AN797" t="n">
        <v>0</v>
      </c>
      <c r="AO797" t="n">
        <v>0</v>
      </c>
      <c r="AP797" t="n">
        <v>0</v>
      </c>
      <c r="AQ797" t="n">
        <v>0</v>
      </c>
      <c r="AR797" t="inlineStr">
        <is>
          <t>No</t>
        </is>
      </c>
      <c r="AS797" t="inlineStr">
        <is>
          <t>Yes</t>
        </is>
      </c>
      <c r="AT797">
        <f>HYPERLINK("http://catalog.hathitrust.org/Record/007390938","HathiTrust Record")</f>
        <v/>
      </c>
      <c r="AU797">
        <f>HYPERLINK("https://creighton-primo.hosted.exlibrisgroup.com/primo-explore/search?tab=default_tab&amp;search_scope=EVERYTHING&amp;vid=01CRU&amp;lang=en_US&amp;offset=0&amp;query=any,contains,991004264469702656","Catalog Record")</f>
        <v/>
      </c>
      <c r="AV797">
        <f>HYPERLINK("http://www.worldcat.org/oclc/28582150","WorldCat Record")</f>
        <v/>
      </c>
      <c r="AW797" t="inlineStr">
        <is>
          <t>30796197:spa</t>
        </is>
      </c>
      <c r="AX797" t="inlineStr">
        <is>
          <t>28582150</t>
        </is>
      </c>
      <c r="AY797" t="inlineStr">
        <is>
          <t>991004264469702656</t>
        </is>
      </c>
      <c r="AZ797" t="inlineStr">
        <is>
          <t>991004264469702656</t>
        </is>
      </c>
      <c r="BA797" t="inlineStr">
        <is>
          <t>2261477000002656</t>
        </is>
      </c>
      <c r="BB797" t="inlineStr">
        <is>
          <t>BOOK</t>
        </is>
      </c>
      <c r="BD797" t="inlineStr">
        <is>
          <t>9780919659247</t>
        </is>
      </c>
      <c r="BE797" t="inlineStr">
        <is>
          <t>32285004898259</t>
        </is>
      </c>
      <c r="BF797" t="inlineStr">
        <is>
          <t>893628062</t>
        </is>
      </c>
    </row>
    <row r="798">
      <c r="A798" t="inlineStr">
        <is>
          <t>No</t>
        </is>
      </c>
      <c r="B798" t="inlineStr">
        <is>
          <t>CURAL</t>
        </is>
      </c>
      <c r="C798" t="inlineStr">
        <is>
          <t>SHELVES</t>
        </is>
      </c>
      <c r="D798" t="inlineStr">
        <is>
          <t>PQ7082.E8 E27 1973</t>
        </is>
      </c>
      <c r="E798" t="inlineStr">
        <is>
          <t>0                      PQ 7082000E  8                  E  27          1973</t>
        </is>
      </c>
      <c r="F798" t="inlineStr">
        <is>
          <t>Historia del ensayo hispanoamericano / por Peter G. Earle y Robert G. Mead, Jr.</t>
        </is>
      </c>
      <c r="H798" t="inlineStr">
        <is>
          <t>No</t>
        </is>
      </c>
      <c r="I798" t="inlineStr">
        <is>
          <t>1</t>
        </is>
      </c>
      <c r="J798" t="inlineStr">
        <is>
          <t>No</t>
        </is>
      </c>
      <c r="K798" t="inlineStr">
        <is>
          <t>No</t>
        </is>
      </c>
      <c r="L798" t="inlineStr">
        <is>
          <t>0</t>
        </is>
      </c>
      <c r="M798" t="inlineStr">
        <is>
          <t>Earle, Peter G.</t>
        </is>
      </c>
      <c r="N798" t="inlineStr">
        <is>
          <t>México : Ediciones de Andrea, 1973.</t>
        </is>
      </c>
      <c r="O798" t="inlineStr">
        <is>
          <t>1973</t>
        </is>
      </c>
      <c r="Q798" t="inlineStr">
        <is>
          <t>spa</t>
        </is>
      </c>
      <c r="R798" t="inlineStr">
        <is>
          <t xml:space="preserve">mx </t>
        </is>
      </c>
      <c r="S798" t="inlineStr">
        <is>
          <t>Historia literaria de Hispanoamérica ; t. 6</t>
        </is>
      </c>
      <c r="T798" t="inlineStr">
        <is>
          <t xml:space="preserve">PQ </t>
        </is>
      </c>
      <c r="U798" t="n">
        <v>1</v>
      </c>
      <c r="V798" t="n">
        <v>1</v>
      </c>
      <c r="W798" t="inlineStr">
        <is>
          <t>2005-04-06</t>
        </is>
      </c>
      <c r="X798" t="inlineStr">
        <is>
          <t>2005-04-06</t>
        </is>
      </c>
      <c r="Y798" t="inlineStr">
        <is>
          <t>2005-04-06</t>
        </is>
      </c>
      <c r="Z798" t="inlineStr">
        <is>
          <t>2005-04-06</t>
        </is>
      </c>
      <c r="AA798" t="n">
        <v>220</v>
      </c>
      <c r="AB798" t="n">
        <v>181</v>
      </c>
      <c r="AC798" t="n">
        <v>189</v>
      </c>
      <c r="AD798" t="n">
        <v>2</v>
      </c>
      <c r="AE798" t="n">
        <v>2</v>
      </c>
      <c r="AF798" t="n">
        <v>5</v>
      </c>
      <c r="AG798" t="n">
        <v>5</v>
      </c>
      <c r="AH798" t="n">
        <v>1</v>
      </c>
      <c r="AI798" t="n">
        <v>1</v>
      </c>
      <c r="AJ798" t="n">
        <v>2</v>
      </c>
      <c r="AK798" t="n">
        <v>2</v>
      </c>
      <c r="AL798" t="n">
        <v>3</v>
      </c>
      <c r="AM798" t="n">
        <v>3</v>
      </c>
      <c r="AN798" t="n">
        <v>1</v>
      </c>
      <c r="AO798" t="n">
        <v>1</v>
      </c>
      <c r="AP798" t="n">
        <v>0</v>
      </c>
      <c r="AQ798" t="n">
        <v>0</v>
      </c>
      <c r="AR798" t="inlineStr">
        <is>
          <t>No</t>
        </is>
      </c>
      <c r="AS798" t="inlineStr">
        <is>
          <t>Yes</t>
        </is>
      </c>
      <c r="AT798">
        <f>HYPERLINK("http://catalog.hathitrust.org/Record/101095923","HathiTrust Record")</f>
        <v/>
      </c>
      <c r="AU798">
        <f>HYPERLINK("https://creighton-primo.hosted.exlibrisgroup.com/primo-explore/search?tab=default_tab&amp;search_scope=EVERYTHING&amp;vid=01CRU&amp;lang=en_US&amp;offset=0&amp;query=any,contains,991004523499702656","Catalog Record")</f>
        <v/>
      </c>
      <c r="AV798">
        <f>HYPERLINK("http://www.worldcat.org/oclc/863619","WorldCat Record")</f>
        <v/>
      </c>
      <c r="AW798" t="inlineStr">
        <is>
          <t>1830882:spa</t>
        </is>
      </c>
      <c r="AX798" t="inlineStr">
        <is>
          <t>863619</t>
        </is>
      </c>
      <c r="AY798" t="inlineStr">
        <is>
          <t>991004523499702656</t>
        </is>
      </c>
      <c r="AZ798" t="inlineStr">
        <is>
          <t>991004523499702656</t>
        </is>
      </c>
      <c r="BA798" t="inlineStr">
        <is>
          <t>2264222940002656</t>
        </is>
      </c>
      <c r="BB798" t="inlineStr">
        <is>
          <t>BOOK</t>
        </is>
      </c>
      <c r="BE798" t="inlineStr">
        <is>
          <t>32285005048466</t>
        </is>
      </c>
      <c r="BF798" t="inlineStr">
        <is>
          <t>893801050</t>
        </is>
      </c>
    </row>
    <row r="799">
      <c r="A799" t="inlineStr">
        <is>
          <t>No</t>
        </is>
      </c>
      <c r="B799" t="inlineStr">
        <is>
          <t>CURAL</t>
        </is>
      </c>
      <c r="C799" t="inlineStr">
        <is>
          <t>SHELVES</t>
        </is>
      </c>
      <c r="D799" t="inlineStr">
        <is>
          <t>PQ7082.E8 F4 1990</t>
        </is>
      </c>
      <c r="E799" t="inlineStr">
        <is>
          <t>0                      PQ 7082000E  8                  F  4           1990</t>
        </is>
      </c>
      <c r="F799" t="inlineStr">
        <is>
          <t>Los gaeneros ensayaisticos hispanoamericanos / Teodosio Fernaandez.</t>
        </is>
      </c>
      <c r="H799" t="inlineStr">
        <is>
          <t>No</t>
        </is>
      </c>
      <c r="I799" t="inlineStr">
        <is>
          <t>1</t>
        </is>
      </c>
      <c r="J799" t="inlineStr">
        <is>
          <t>No</t>
        </is>
      </c>
      <c r="K799" t="inlineStr">
        <is>
          <t>No</t>
        </is>
      </c>
      <c r="L799" t="inlineStr">
        <is>
          <t>0</t>
        </is>
      </c>
      <c r="M799" t="inlineStr">
        <is>
          <t>Fernaandez, Teodosio.</t>
        </is>
      </c>
      <c r="N799" t="inlineStr">
        <is>
          <t>Madrid : Taurus, c1990.</t>
        </is>
      </c>
      <c r="O799" t="inlineStr">
        <is>
          <t>1990</t>
        </is>
      </c>
      <c r="Q799" t="inlineStr">
        <is>
          <t>spa</t>
        </is>
      </c>
      <c r="R799" t="inlineStr">
        <is>
          <t xml:space="preserve">sp </t>
        </is>
      </c>
      <c r="S799" t="inlineStr">
        <is>
          <t>Historia craitica de la literatura hispaanica ; 35</t>
        </is>
      </c>
      <c r="T799" t="inlineStr">
        <is>
          <t xml:space="preserve">PQ </t>
        </is>
      </c>
      <c r="U799" t="n">
        <v>1</v>
      </c>
      <c r="V799" t="n">
        <v>1</v>
      </c>
      <c r="W799" t="inlineStr">
        <is>
          <t>2004-08-04</t>
        </is>
      </c>
      <c r="X799" t="inlineStr">
        <is>
          <t>2004-08-04</t>
        </is>
      </c>
      <c r="Y799" t="inlineStr">
        <is>
          <t>2004-08-04</t>
        </is>
      </c>
      <c r="Z799" t="inlineStr">
        <is>
          <t>2004-08-04</t>
        </is>
      </c>
      <c r="AA799" t="n">
        <v>112</v>
      </c>
      <c r="AB799" t="n">
        <v>78</v>
      </c>
      <c r="AC799" t="n">
        <v>79</v>
      </c>
      <c r="AD799" t="n">
        <v>1</v>
      </c>
      <c r="AE799" t="n">
        <v>1</v>
      </c>
      <c r="AF799" t="n">
        <v>3</v>
      </c>
      <c r="AG799" t="n">
        <v>3</v>
      </c>
      <c r="AH799" t="n">
        <v>0</v>
      </c>
      <c r="AI799" t="n">
        <v>0</v>
      </c>
      <c r="AJ799" t="n">
        <v>3</v>
      </c>
      <c r="AK799" t="n">
        <v>3</v>
      </c>
      <c r="AL799" t="n">
        <v>2</v>
      </c>
      <c r="AM799" t="n">
        <v>2</v>
      </c>
      <c r="AN799" t="n">
        <v>0</v>
      </c>
      <c r="AO799" t="n">
        <v>0</v>
      </c>
      <c r="AP799" t="n">
        <v>0</v>
      </c>
      <c r="AQ799" t="n">
        <v>0</v>
      </c>
      <c r="AR799" t="inlineStr">
        <is>
          <t>No</t>
        </is>
      </c>
      <c r="AS799" t="inlineStr">
        <is>
          <t>Yes</t>
        </is>
      </c>
      <c r="AT799">
        <f>HYPERLINK("http://catalog.hathitrust.org/Record/002450503","HathiTrust Record")</f>
        <v/>
      </c>
      <c r="AU799">
        <f>HYPERLINK("https://creighton-primo.hosted.exlibrisgroup.com/primo-explore/search?tab=default_tab&amp;search_scope=EVERYTHING&amp;vid=01CRU&amp;lang=en_US&amp;offset=0&amp;query=any,contains,991004336109702656","Catalog Record")</f>
        <v/>
      </c>
      <c r="AV799">
        <f>HYPERLINK("http://www.worldcat.org/oclc/23720841","WorldCat Record")</f>
        <v/>
      </c>
      <c r="AW799" t="inlineStr">
        <is>
          <t>349890916:spa</t>
        </is>
      </c>
      <c r="AX799" t="inlineStr">
        <is>
          <t>23720841</t>
        </is>
      </c>
      <c r="AY799" t="inlineStr">
        <is>
          <t>991004336109702656</t>
        </is>
      </c>
      <c r="AZ799" t="inlineStr">
        <is>
          <t>991004336109702656</t>
        </is>
      </c>
      <c r="BA799" t="inlineStr">
        <is>
          <t>2272210630002656</t>
        </is>
      </c>
      <c r="BB799" t="inlineStr">
        <is>
          <t>BOOK</t>
        </is>
      </c>
      <c r="BD799" t="inlineStr">
        <is>
          <t>9788430625352</t>
        </is>
      </c>
      <c r="BE799" t="inlineStr">
        <is>
          <t>32285004928494</t>
        </is>
      </c>
      <c r="BF799" t="inlineStr">
        <is>
          <t>893706275</t>
        </is>
      </c>
    </row>
    <row r="800">
      <c r="A800" t="inlineStr">
        <is>
          <t>No</t>
        </is>
      </c>
      <c r="B800" t="inlineStr">
        <is>
          <t>CURAL</t>
        </is>
      </c>
      <c r="C800" t="inlineStr">
        <is>
          <t>SHELVES</t>
        </is>
      </c>
      <c r="D800" t="inlineStr">
        <is>
          <t>PQ7082.E8 O95 1991</t>
        </is>
      </c>
      <c r="E800" t="inlineStr">
        <is>
          <t>0                      PQ 7082000E  8                  O  95          1991</t>
        </is>
      </c>
      <c r="F800" t="inlineStr">
        <is>
          <t>Breve historia del ensayo hispanoamericano / Josae Miguel Oviedo.</t>
        </is>
      </c>
      <c r="H800" t="inlineStr">
        <is>
          <t>No</t>
        </is>
      </c>
      <c r="I800" t="inlineStr">
        <is>
          <t>1</t>
        </is>
      </c>
      <c r="J800" t="inlineStr">
        <is>
          <t>No</t>
        </is>
      </c>
      <c r="K800" t="inlineStr">
        <is>
          <t>No</t>
        </is>
      </c>
      <c r="L800" t="inlineStr">
        <is>
          <t>0</t>
        </is>
      </c>
      <c r="M800" t="inlineStr">
        <is>
          <t>Oviedo, José Miguel.</t>
        </is>
      </c>
      <c r="N800" t="inlineStr">
        <is>
          <t>Madrid : Alianza, c1991.</t>
        </is>
      </c>
      <c r="O800" t="inlineStr">
        <is>
          <t>1991</t>
        </is>
      </c>
      <c r="Q800" t="inlineStr">
        <is>
          <t>spa</t>
        </is>
      </c>
      <c r="R800" t="inlineStr">
        <is>
          <t xml:space="preserve">sp </t>
        </is>
      </c>
      <c r="S800" t="inlineStr">
        <is>
          <t>Libro de bolsillo ; 1509</t>
        </is>
      </c>
      <c r="T800" t="inlineStr">
        <is>
          <t xml:space="preserve">PQ </t>
        </is>
      </c>
      <c r="U800" t="n">
        <v>1</v>
      </c>
      <c r="V800" t="n">
        <v>1</v>
      </c>
      <c r="W800" t="inlineStr">
        <is>
          <t>2004-08-05</t>
        </is>
      </c>
      <c r="X800" t="inlineStr">
        <is>
          <t>2004-08-05</t>
        </is>
      </c>
      <c r="Y800" t="inlineStr">
        <is>
          <t>2004-08-05</t>
        </is>
      </c>
      <c r="Z800" t="inlineStr">
        <is>
          <t>2004-08-05</t>
        </is>
      </c>
      <c r="AA800" t="n">
        <v>64</v>
      </c>
      <c r="AB800" t="n">
        <v>38</v>
      </c>
      <c r="AC800" t="n">
        <v>104</v>
      </c>
      <c r="AD800" t="n">
        <v>1</v>
      </c>
      <c r="AE800" t="n">
        <v>1</v>
      </c>
      <c r="AF800" t="n">
        <v>0</v>
      </c>
      <c r="AG800" t="n">
        <v>4</v>
      </c>
      <c r="AH800" t="n">
        <v>0</v>
      </c>
      <c r="AI800" t="n">
        <v>0</v>
      </c>
      <c r="AJ800" t="n">
        <v>0</v>
      </c>
      <c r="AK800" t="n">
        <v>3</v>
      </c>
      <c r="AL800" t="n">
        <v>0</v>
      </c>
      <c r="AM800" t="n">
        <v>3</v>
      </c>
      <c r="AN800" t="n">
        <v>0</v>
      </c>
      <c r="AO800" t="n">
        <v>0</v>
      </c>
      <c r="AP800" t="n">
        <v>0</v>
      </c>
      <c r="AQ800" t="n">
        <v>0</v>
      </c>
      <c r="AR800" t="inlineStr">
        <is>
          <t>No</t>
        </is>
      </c>
      <c r="AS800" t="inlineStr">
        <is>
          <t>No</t>
        </is>
      </c>
      <c r="AU800">
        <f>HYPERLINK("https://creighton-primo.hosted.exlibrisgroup.com/primo-explore/search?tab=default_tab&amp;search_scope=EVERYTHING&amp;vid=01CRU&amp;lang=en_US&amp;offset=0&amp;query=any,contains,991004339989702656","Catalog Record")</f>
        <v/>
      </c>
      <c r="AV800">
        <f>HYPERLINK("http://www.worldcat.org/oclc/24620660","WorldCat Record")</f>
        <v/>
      </c>
      <c r="AW800" t="inlineStr">
        <is>
          <t>26731513:spa</t>
        </is>
      </c>
      <c r="AX800" t="inlineStr">
        <is>
          <t>24620660</t>
        </is>
      </c>
      <c r="AY800" t="inlineStr">
        <is>
          <t>991004339989702656</t>
        </is>
      </c>
      <c r="AZ800" t="inlineStr">
        <is>
          <t>991004339989702656</t>
        </is>
      </c>
      <c r="BA800" t="inlineStr">
        <is>
          <t>2265938650002656</t>
        </is>
      </c>
      <c r="BB800" t="inlineStr">
        <is>
          <t>BOOK</t>
        </is>
      </c>
      <c r="BD800" t="inlineStr">
        <is>
          <t>9788420605098</t>
        </is>
      </c>
      <c r="BE800" t="inlineStr">
        <is>
          <t>32285004929492</t>
        </is>
      </c>
      <c r="BF800" t="inlineStr">
        <is>
          <t>893806950</t>
        </is>
      </c>
    </row>
    <row r="801">
      <c r="A801" t="inlineStr">
        <is>
          <t>No</t>
        </is>
      </c>
      <c r="B801" t="inlineStr">
        <is>
          <t>CURAL</t>
        </is>
      </c>
      <c r="C801" t="inlineStr">
        <is>
          <t>SHELVES</t>
        </is>
      </c>
      <c r="D801" t="inlineStr">
        <is>
          <t>PQ7082.N7 A55 1965</t>
        </is>
      </c>
      <c r="E801" t="inlineStr">
        <is>
          <t>0                      PQ 7082000N  7                  A  55          1965</t>
        </is>
      </c>
      <c r="F801" t="inlineStr">
        <is>
          <t>Historia de la novela hispanoamericana / por Fernando Alegria.</t>
        </is>
      </c>
      <c r="H801" t="inlineStr">
        <is>
          <t>No</t>
        </is>
      </c>
      <c r="I801" t="inlineStr">
        <is>
          <t>1</t>
        </is>
      </c>
      <c r="J801" t="inlineStr">
        <is>
          <t>No</t>
        </is>
      </c>
      <c r="K801" t="inlineStr">
        <is>
          <t>No</t>
        </is>
      </c>
      <c r="L801" t="inlineStr">
        <is>
          <t>0</t>
        </is>
      </c>
      <c r="M801" t="inlineStr">
        <is>
          <t>Alegría, Fernando, 1918-2005.</t>
        </is>
      </c>
      <c r="N801" t="inlineStr">
        <is>
          <t>México : Ediciones De Andrea, 1965.</t>
        </is>
      </c>
      <c r="O801" t="inlineStr">
        <is>
          <t>1965</t>
        </is>
      </c>
      <c r="P801" t="inlineStr">
        <is>
          <t>[2. ed., corr. y muy ampliada]</t>
        </is>
      </c>
      <c r="Q801" t="inlineStr">
        <is>
          <t>spa</t>
        </is>
      </c>
      <c r="R801" t="inlineStr">
        <is>
          <t xml:space="preserve">mx </t>
        </is>
      </c>
      <c r="S801" t="inlineStr">
        <is>
          <t>Historia literaria de Hispanoamérica, v. 1</t>
        </is>
      </c>
      <c r="T801" t="inlineStr">
        <is>
          <t xml:space="preserve">PQ </t>
        </is>
      </c>
      <c r="U801" t="n">
        <v>1</v>
      </c>
      <c r="V801" t="n">
        <v>1</v>
      </c>
      <c r="W801" t="inlineStr">
        <is>
          <t>2005-04-06</t>
        </is>
      </c>
      <c r="X801" t="inlineStr">
        <is>
          <t>2005-04-06</t>
        </is>
      </c>
      <c r="Y801" t="inlineStr">
        <is>
          <t>2005-04-06</t>
        </is>
      </c>
      <c r="Z801" t="inlineStr">
        <is>
          <t>2005-04-06</t>
        </is>
      </c>
      <c r="AA801" t="n">
        <v>138</v>
      </c>
      <c r="AB801" t="n">
        <v>114</v>
      </c>
      <c r="AC801" t="n">
        <v>500</v>
      </c>
      <c r="AD801" t="n">
        <v>2</v>
      </c>
      <c r="AE801" t="n">
        <v>5</v>
      </c>
      <c r="AF801" t="n">
        <v>8</v>
      </c>
      <c r="AG801" t="n">
        <v>26</v>
      </c>
      <c r="AH801" t="n">
        <v>0</v>
      </c>
      <c r="AI801" t="n">
        <v>6</v>
      </c>
      <c r="AJ801" t="n">
        <v>4</v>
      </c>
      <c r="AK801" t="n">
        <v>8</v>
      </c>
      <c r="AL801" t="n">
        <v>5</v>
      </c>
      <c r="AM801" t="n">
        <v>15</v>
      </c>
      <c r="AN801" t="n">
        <v>1</v>
      </c>
      <c r="AO801" t="n">
        <v>4</v>
      </c>
      <c r="AP801" t="n">
        <v>0</v>
      </c>
      <c r="AQ801" t="n">
        <v>0</v>
      </c>
      <c r="AR801" t="inlineStr">
        <is>
          <t>No</t>
        </is>
      </c>
      <c r="AS801" t="inlineStr">
        <is>
          <t>Yes</t>
        </is>
      </c>
      <c r="AT801">
        <f>HYPERLINK("http://catalog.hathitrust.org/Record/101389753","HathiTrust Record")</f>
        <v/>
      </c>
      <c r="AU801">
        <f>HYPERLINK("https://creighton-primo.hosted.exlibrisgroup.com/primo-explore/search?tab=default_tab&amp;search_scope=EVERYTHING&amp;vid=01CRU&amp;lang=en_US&amp;offset=0&amp;query=any,contains,991004523079702656","Catalog Record")</f>
        <v/>
      </c>
      <c r="AV801">
        <f>HYPERLINK("http://www.worldcat.org/oclc/2468543","WorldCat Record")</f>
        <v/>
      </c>
      <c r="AW801" t="inlineStr">
        <is>
          <t>149584049:spa</t>
        </is>
      </c>
      <c r="AX801" t="inlineStr">
        <is>
          <t>2468543</t>
        </is>
      </c>
      <c r="AY801" t="inlineStr">
        <is>
          <t>991004523079702656</t>
        </is>
      </c>
      <c r="AZ801" t="inlineStr">
        <is>
          <t>991004523079702656</t>
        </is>
      </c>
      <c r="BA801" t="inlineStr">
        <is>
          <t>2271105620002656</t>
        </is>
      </c>
      <c r="BB801" t="inlineStr">
        <is>
          <t>BOOK</t>
        </is>
      </c>
      <c r="BE801" t="inlineStr">
        <is>
          <t>32285005048300</t>
        </is>
      </c>
      <c r="BF801" t="inlineStr">
        <is>
          <t>893519755</t>
        </is>
      </c>
    </row>
    <row r="802">
      <c r="A802" t="inlineStr">
        <is>
          <t>No</t>
        </is>
      </c>
      <c r="B802" t="inlineStr">
        <is>
          <t>CURAL</t>
        </is>
      </c>
      <c r="C802" t="inlineStr">
        <is>
          <t>SHELVES</t>
        </is>
      </c>
      <c r="D802" t="inlineStr">
        <is>
          <t>PQ7082.N7 A578 1994</t>
        </is>
      </c>
      <c r="E802" t="inlineStr">
        <is>
          <t>0                      PQ 7082000N  7                  A  578         1994</t>
        </is>
      </c>
      <c r="F802" t="inlineStr">
        <is>
          <t>La novela urbana en Latinoamaerica durante los aanos 1945 a 1959 / Maraia Elena D'Alessandro Bello.</t>
        </is>
      </c>
      <c r="H802" t="inlineStr">
        <is>
          <t>No</t>
        </is>
      </c>
      <c r="I802" t="inlineStr">
        <is>
          <t>1</t>
        </is>
      </c>
      <c r="J802" t="inlineStr">
        <is>
          <t>No</t>
        </is>
      </c>
      <c r="K802" t="inlineStr">
        <is>
          <t>No</t>
        </is>
      </c>
      <c r="L802" t="inlineStr">
        <is>
          <t>0</t>
        </is>
      </c>
      <c r="M802" t="inlineStr">
        <is>
          <t>D'Alessandro Bello, María Elena, 1959-</t>
        </is>
      </c>
      <c r="N802" t="inlineStr">
        <is>
          <t>Caracas, Venezuela : Fundaciaon CELARG, [1994]</t>
        </is>
      </c>
      <c r="O802" t="inlineStr">
        <is>
          <t>1994</t>
        </is>
      </c>
      <c r="Q802" t="inlineStr">
        <is>
          <t>spa</t>
        </is>
      </c>
      <c r="R802" t="inlineStr">
        <is>
          <t xml:space="preserve">ve </t>
        </is>
      </c>
      <c r="T802" t="inlineStr">
        <is>
          <t xml:space="preserve">PQ </t>
        </is>
      </c>
      <c r="U802" t="n">
        <v>1</v>
      </c>
      <c r="V802" t="n">
        <v>1</v>
      </c>
      <c r="W802" t="inlineStr">
        <is>
          <t>2004-08-02</t>
        </is>
      </c>
      <c r="X802" t="inlineStr">
        <is>
          <t>2004-08-02</t>
        </is>
      </c>
      <c r="Y802" t="inlineStr">
        <is>
          <t>2004-08-02</t>
        </is>
      </c>
      <c r="Z802" t="inlineStr">
        <is>
          <t>2004-08-02</t>
        </is>
      </c>
      <c r="AA802" t="n">
        <v>64</v>
      </c>
      <c r="AB802" t="n">
        <v>56</v>
      </c>
      <c r="AC802" t="n">
        <v>59</v>
      </c>
      <c r="AD802" t="n">
        <v>1</v>
      </c>
      <c r="AE802" t="n">
        <v>1</v>
      </c>
      <c r="AF802" t="n">
        <v>1</v>
      </c>
      <c r="AG802" t="n">
        <v>1</v>
      </c>
      <c r="AH802" t="n">
        <v>0</v>
      </c>
      <c r="AI802" t="n">
        <v>0</v>
      </c>
      <c r="AJ802" t="n">
        <v>1</v>
      </c>
      <c r="AK802" t="n">
        <v>1</v>
      </c>
      <c r="AL802" t="n">
        <v>0</v>
      </c>
      <c r="AM802" t="n">
        <v>0</v>
      </c>
      <c r="AN802" t="n">
        <v>0</v>
      </c>
      <c r="AO802" t="n">
        <v>0</v>
      </c>
      <c r="AP802" t="n">
        <v>0</v>
      </c>
      <c r="AQ802" t="n">
        <v>0</v>
      </c>
      <c r="AR802" t="inlineStr">
        <is>
          <t>No</t>
        </is>
      </c>
      <c r="AS802" t="inlineStr">
        <is>
          <t>Yes</t>
        </is>
      </c>
      <c r="AT802">
        <f>HYPERLINK("http://catalog.hathitrust.org/Record/101095940","HathiTrust Record")</f>
        <v/>
      </c>
      <c r="AU802">
        <f>HYPERLINK("https://creighton-primo.hosted.exlibrisgroup.com/primo-explore/search?tab=default_tab&amp;search_scope=EVERYTHING&amp;vid=01CRU&amp;lang=en_US&amp;offset=0&amp;query=any,contains,991004333079702656","Catalog Record")</f>
        <v/>
      </c>
      <c r="AV802">
        <f>HYPERLINK("http://www.worldcat.org/oclc/33234146","WorldCat Record")</f>
        <v/>
      </c>
      <c r="AW802" t="inlineStr">
        <is>
          <t>366459562:spa</t>
        </is>
      </c>
      <c r="AX802" t="inlineStr">
        <is>
          <t>33234146</t>
        </is>
      </c>
      <c r="AY802" t="inlineStr">
        <is>
          <t>991004333079702656</t>
        </is>
      </c>
      <c r="AZ802" t="inlineStr">
        <is>
          <t>991004333079702656</t>
        </is>
      </c>
      <c r="BA802" t="inlineStr">
        <is>
          <t>2256720660002656</t>
        </is>
      </c>
      <c r="BB802" t="inlineStr">
        <is>
          <t>BOOK</t>
        </is>
      </c>
      <c r="BD802" t="inlineStr">
        <is>
          <t>9789806197305</t>
        </is>
      </c>
      <c r="BE802" t="inlineStr">
        <is>
          <t>32285004925219</t>
        </is>
      </c>
      <c r="BF802" t="inlineStr">
        <is>
          <t>893500426</t>
        </is>
      </c>
    </row>
    <row r="803">
      <c r="A803" t="inlineStr">
        <is>
          <t>No</t>
        </is>
      </c>
      <c r="B803" t="inlineStr">
        <is>
          <t>CURAL</t>
        </is>
      </c>
      <c r="C803" t="inlineStr">
        <is>
          <t>SHELVES</t>
        </is>
      </c>
      <c r="D803" t="inlineStr">
        <is>
          <t>PQ7082.N7 B3</t>
        </is>
      </c>
      <c r="E803" t="inlineStr">
        <is>
          <t>0                      PQ 7082000N  7                  B  3</t>
        </is>
      </c>
      <c r="F803" t="inlineStr">
        <is>
          <t>La novela y el cuento en Hispanoamérica.</t>
        </is>
      </c>
      <c r="H803" t="inlineStr">
        <is>
          <t>No</t>
        </is>
      </c>
      <c r="I803" t="inlineStr">
        <is>
          <t>1</t>
        </is>
      </c>
      <c r="J803" t="inlineStr">
        <is>
          <t>No</t>
        </is>
      </c>
      <c r="K803" t="inlineStr">
        <is>
          <t>No</t>
        </is>
      </c>
      <c r="L803" t="inlineStr">
        <is>
          <t>0</t>
        </is>
      </c>
      <c r="M803" t="inlineStr">
        <is>
          <t>Barbagelata, Hugo D. (Hugo David), 1886-</t>
        </is>
      </c>
      <c r="O803" t="inlineStr">
        <is>
          <t>1947</t>
        </is>
      </c>
      <c r="Q803" t="inlineStr">
        <is>
          <t>spa</t>
        </is>
      </c>
      <c r="R803" t="inlineStr">
        <is>
          <t xml:space="preserve">xx </t>
        </is>
      </c>
      <c r="T803" t="inlineStr">
        <is>
          <t xml:space="preserve">PQ </t>
        </is>
      </c>
      <c r="U803" t="n">
        <v>3</v>
      </c>
      <c r="V803" t="n">
        <v>3</v>
      </c>
      <c r="W803" t="inlineStr">
        <is>
          <t>1999-09-24</t>
        </is>
      </c>
      <c r="X803" t="inlineStr">
        <is>
          <t>1999-09-24</t>
        </is>
      </c>
      <c r="Y803" t="inlineStr">
        <is>
          <t>1997-10-01</t>
        </is>
      </c>
      <c r="Z803" t="inlineStr">
        <is>
          <t>1997-10-01</t>
        </is>
      </c>
      <c r="AA803" t="n">
        <v>183</v>
      </c>
      <c r="AB803" t="n">
        <v>163</v>
      </c>
      <c r="AC803" t="n">
        <v>167</v>
      </c>
      <c r="AD803" t="n">
        <v>2</v>
      </c>
      <c r="AE803" t="n">
        <v>2</v>
      </c>
      <c r="AF803" t="n">
        <v>7</v>
      </c>
      <c r="AG803" t="n">
        <v>7</v>
      </c>
      <c r="AH803" t="n">
        <v>1</v>
      </c>
      <c r="AI803" t="n">
        <v>1</v>
      </c>
      <c r="AJ803" t="n">
        <v>3</v>
      </c>
      <c r="AK803" t="n">
        <v>3</v>
      </c>
      <c r="AL803" t="n">
        <v>5</v>
      </c>
      <c r="AM803" t="n">
        <v>5</v>
      </c>
      <c r="AN803" t="n">
        <v>1</v>
      </c>
      <c r="AO803" t="n">
        <v>1</v>
      </c>
      <c r="AP803" t="n">
        <v>0</v>
      </c>
      <c r="AQ803" t="n">
        <v>0</v>
      </c>
      <c r="AR803" t="inlineStr">
        <is>
          <t>No</t>
        </is>
      </c>
      <c r="AS803" t="inlineStr">
        <is>
          <t>Yes</t>
        </is>
      </c>
      <c r="AT803">
        <f>HYPERLINK("http://catalog.hathitrust.org/Record/001048764","HathiTrust Record")</f>
        <v/>
      </c>
      <c r="AU803">
        <f>HYPERLINK("https://creighton-primo.hosted.exlibrisgroup.com/primo-explore/search?tab=default_tab&amp;search_scope=EVERYTHING&amp;vid=01CRU&amp;lang=en_US&amp;offset=0&amp;query=any,contains,991003102819702656","Catalog Record")</f>
        <v/>
      </c>
      <c r="AV803">
        <f>HYPERLINK("http://www.worldcat.org/oclc/652165","WorldCat Record")</f>
        <v/>
      </c>
      <c r="AW803" t="inlineStr">
        <is>
          <t>422790075:spa</t>
        </is>
      </c>
      <c r="AX803" t="inlineStr">
        <is>
          <t>652165</t>
        </is>
      </c>
      <c r="AY803" t="inlineStr">
        <is>
          <t>991003102819702656</t>
        </is>
      </c>
      <c r="AZ803" t="inlineStr">
        <is>
          <t>991003102819702656</t>
        </is>
      </c>
      <c r="BA803" t="inlineStr">
        <is>
          <t>2262913040002656</t>
        </is>
      </c>
      <c r="BB803" t="inlineStr">
        <is>
          <t>BOOK</t>
        </is>
      </c>
      <c r="BE803" t="inlineStr">
        <is>
          <t>32285003236691</t>
        </is>
      </c>
      <c r="BF803" t="inlineStr">
        <is>
          <t>893434647</t>
        </is>
      </c>
    </row>
    <row r="804">
      <c r="A804" t="inlineStr">
        <is>
          <t>No</t>
        </is>
      </c>
      <c r="B804" t="inlineStr">
        <is>
          <t>CURAL</t>
        </is>
      </c>
      <c r="C804" t="inlineStr">
        <is>
          <t>SHELVES</t>
        </is>
      </c>
      <c r="D804" t="inlineStr">
        <is>
          <t>PQ7082.N7 B64 1987</t>
        </is>
      </c>
      <c r="E804" t="inlineStr">
        <is>
          <t>0                      PQ 7082000N  7                  B  64          1987</t>
        </is>
      </c>
      <c r="F804" t="inlineStr">
        <is>
          <t>Los poderes de la ficción : para una interpretación de la literatura fantástica / Víctor Bravo.</t>
        </is>
      </c>
      <c r="H804" t="inlineStr">
        <is>
          <t>No</t>
        </is>
      </c>
      <c r="I804" t="inlineStr">
        <is>
          <t>1</t>
        </is>
      </c>
      <c r="J804" t="inlineStr">
        <is>
          <t>No</t>
        </is>
      </c>
      <c r="K804" t="inlineStr">
        <is>
          <t>No</t>
        </is>
      </c>
      <c r="L804" t="inlineStr">
        <is>
          <t>0</t>
        </is>
      </c>
      <c r="M804" t="inlineStr">
        <is>
          <t>Bravo, Víctor, 1949-</t>
        </is>
      </c>
      <c r="N804" t="inlineStr">
        <is>
          <t>Caracas, Venezuela : Monte Avila Editores, 1987.</t>
        </is>
      </c>
      <c r="O804" t="inlineStr">
        <is>
          <t>1987</t>
        </is>
      </c>
      <c r="P804" t="inlineStr">
        <is>
          <t>1a ed.</t>
        </is>
      </c>
      <c r="Q804" t="inlineStr">
        <is>
          <t>spa</t>
        </is>
      </c>
      <c r="R804" t="inlineStr">
        <is>
          <t xml:space="preserve">ve </t>
        </is>
      </c>
      <c r="S804" t="inlineStr">
        <is>
          <t>Estudios</t>
        </is>
      </c>
      <c r="T804" t="inlineStr">
        <is>
          <t xml:space="preserve">PQ </t>
        </is>
      </c>
      <c r="U804" t="n">
        <v>1</v>
      </c>
      <c r="V804" t="n">
        <v>1</v>
      </c>
      <c r="W804" t="inlineStr">
        <is>
          <t>2002-01-30</t>
        </is>
      </c>
      <c r="X804" t="inlineStr">
        <is>
          <t>2002-01-30</t>
        </is>
      </c>
      <c r="Y804" t="inlineStr">
        <is>
          <t>2002-01-30</t>
        </is>
      </c>
      <c r="Z804" t="inlineStr">
        <is>
          <t>2002-01-30</t>
        </is>
      </c>
      <c r="AA804" t="n">
        <v>66</v>
      </c>
      <c r="AB804" t="n">
        <v>47</v>
      </c>
      <c r="AC804" t="n">
        <v>49</v>
      </c>
      <c r="AD804" t="n">
        <v>1</v>
      </c>
      <c r="AE804" t="n">
        <v>1</v>
      </c>
      <c r="AF804" t="n">
        <v>0</v>
      </c>
      <c r="AG804" t="n">
        <v>0</v>
      </c>
      <c r="AH804" t="n">
        <v>0</v>
      </c>
      <c r="AI804" t="n">
        <v>0</v>
      </c>
      <c r="AJ804" t="n">
        <v>0</v>
      </c>
      <c r="AK804" t="n">
        <v>0</v>
      </c>
      <c r="AL804" t="n">
        <v>0</v>
      </c>
      <c r="AM804" t="n">
        <v>0</v>
      </c>
      <c r="AN804" t="n">
        <v>0</v>
      </c>
      <c r="AO804" t="n">
        <v>0</v>
      </c>
      <c r="AP804" t="n">
        <v>0</v>
      </c>
      <c r="AQ804" t="n">
        <v>0</v>
      </c>
      <c r="AR804" t="inlineStr">
        <is>
          <t>No</t>
        </is>
      </c>
      <c r="AS804" t="inlineStr">
        <is>
          <t>Yes</t>
        </is>
      </c>
      <c r="AT804">
        <f>HYPERLINK("http://catalog.hathitrust.org/Record/101012577","HathiTrust Record")</f>
        <v/>
      </c>
      <c r="AU804">
        <f>HYPERLINK("https://creighton-primo.hosted.exlibrisgroup.com/primo-explore/search?tab=default_tab&amp;search_scope=EVERYTHING&amp;vid=01CRU&amp;lang=en_US&amp;offset=0&amp;query=any,contains,991003724399702656","Catalog Record")</f>
        <v/>
      </c>
      <c r="AV804">
        <f>HYPERLINK("http://www.worldcat.org/oclc/18155175","WorldCat Record")</f>
        <v/>
      </c>
      <c r="AW804" t="inlineStr">
        <is>
          <t>365805884:spa</t>
        </is>
      </c>
      <c r="AX804" t="inlineStr">
        <is>
          <t>18155175</t>
        </is>
      </c>
      <c r="AY804" t="inlineStr">
        <is>
          <t>991003724399702656</t>
        </is>
      </c>
      <c r="AZ804" t="inlineStr">
        <is>
          <t>991003724399702656</t>
        </is>
      </c>
      <c r="BA804" t="inlineStr">
        <is>
          <t>2264154330002656</t>
        </is>
      </c>
      <c r="BB804" t="inlineStr">
        <is>
          <t>BOOK</t>
        </is>
      </c>
      <c r="BD804" t="inlineStr">
        <is>
          <t>9789800100950</t>
        </is>
      </c>
      <c r="BE804" t="inlineStr">
        <is>
          <t>32285004450846</t>
        </is>
      </c>
      <c r="BF804" t="inlineStr">
        <is>
          <t>893699332</t>
        </is>
      </c>
    </row>
    <row r="805">
      <c r="A805" t="inlineStr">
        <is>
          <t>No</t>
        </is>
      </c>
      <c r="B805" t="inlineStr">
        <is>
          <t>CURAL</t>
        </is>
      </c>
      <c r="C805" t="inlineStr">
        <is>
          <t>SHELVES</t>
        </is>
      </c>
      <c r="D805" t="inlineStr">
        <is>
          <t>PQ7082.N7 B64 1988</t>
        </is>
      </c>
      <c r="E805" t="inlineStr">
        <is>
          <t>0                      PQ 7082000N  7                  B  64          1988</t>
        </is>
      </c>
      <c r="F805" t="inlineStr">
        <is>
          <t>La irrupción y el límite : hacia una reflexión sobre la narrativa fantástica y la naturaleza de la ficción / Víctor Antonio Bravo.</t>
        </is>
      </c>
      <c r="H805" t="inlineStr">
        <is>
          <t>No</t>
        </is>
      </c>
      <c r="I805" t="inlineStr">
        <is>
          <t>1</t>
        </is>
      </c>
      <c r="J805" t="inlineStr">
        <is>
          <t>No</t>
        </is>
      </c>
      <c r="K805" t="inlineStr">
        <is>
          <t>No</t>
        </is>
      </c>
      <c r="L805" t="inlineStr">
        <is>
          <t>0</t>
        </is>
      </c>
      <c r="M805" t="inlineStr">
        <is>
          <t>Bravo, Víctor, 1949-</t>
        </is>
      </c>
      <c r="N805" t="inlineStr">
        <is>
          <t>México, D.F. : Universidad Autónoma de México, 1988.</t>
        </is>
      </c>
      <c r="O805" t="inlineStr">
        <is>
          <t>1988</t>
        </is>
      </c>
      <c r="Q805" t="inlineStr">
        <is>
          <t>spa</t>
        </is>
      </c>
      <c r="R805" t="inlineStr">
        <is>
          <t xml:space="preserve">mx </t>
        </is>
      </c>
      <c r="S805" t="inlineStr">
        <is>
          <t>Biblioteca de letras</t>
        </is>
      </c>
      <c r="T805" t="inlineStr">
        <is>
          <t xml:space="preserve">PQ </t>
        </is>
      </c>
      <c r="U805" t="n">
        <v>4</v>
      </c>
      <c r="V805" t="n">
        <v>4</v>
      </c>
      <c r="W805" t="inlineStr">
        <is>
          <t>1997-11-05</t>
        </is>
      </c>
      <c r="X805" t="inlineStr">
        <is>
          <t>1997-11-05</t>
        </is>
      </c>
      <c r="Y805" t="inlineStr">
        <is>
          <t>1995-08-17</t>
        </is>
      </c>
      <c r="Z805" t="inlineStr">
        <is>
          <t>1995-08-17</t>
        </is>
      </c>
      <c r="AA805" t="n">
        <v>25</v>
      </c>
      <c r="AB805" t="n">
        <v>22</v>
      </c>
      <c r="AC805" t="n">
        <v>30</v>
      </c>
      <c r="AD805" t="n">
        <v>1</v>
      </c>
      <c r="AE805" t="n">
        <v>1</v>
      </c>
      <c r="AF805" t="n">
        <v>1</v>
      </c>
      <c r="AG805" t="n">
        <v>1</v>
      </c>
      <c r="AH805" t="n">
        <v>0</v>
      </c>
      <c r="AI805" t="n">
        <v>0</v>
      </c>
      <c r="AJ805" t="n">
        <v>0</v>
      </c>
      <c r="AK805" t="n">
        <v>0</v>
      </c>
      <c r="AL805" t="n">
        <v>1</v>
      </c>
      <c r="AM805" t="n">
        <v>1</v>
      </c>
      <c r="AN805" t="n">
        <v>0</v>
      </c>
      <c r="AO805" t="n">
        <v>0</v>
      </c>
      <c r="AP805" t="n">
        <v>0</v>
      </c>
      <c r="AQ805" t="n">
        <v>0</v>
      </c>
      <c r="AR805" t="inlineStr">
        <is>
          <t>No</t>
        </is>
      </c>
      <c r="AS805" t="inlineStr">
        <is>
          <t>Yes</t>
        </is>
      </c>
      <c r="AT805">
        <f>HYPERLINK("http://catalog.hathitrust.org/Record/008447974","HathiTrust Record")</f>
        <v/>
      </c>
      <c r="AU805">
        <f>HYPERLINK("https://creighton-primo.hosted.exlibrisgroup.com/primo-explore/search?tab=default_tab&amp;search_scope=EVERYTHING&amp;vid=01CRU&amp;lang=en_US&amp;offset=0&amp;query=any,contains,991001814789702656","Catalog Record")</f>
        <v/>
      </c>
      <c r="AV805">
        <f>HYPERLINK("http://www.worldcat.org/oclc/22792501","WorldCat Record")</f>
        <v/>
      </c>
      <c r="AW805" t="inlineStr">
        <is>
          <t>897814550:spa</t>
        </is>
      </c>
      <c r="AX805" t="inlineStr">
        <is>
          <t>22792501</t>
        </is>
      </c>
      <c r="AY805" t="inlineStr">
        <is>
          <t>991001814789702656</t>
        </is>
      </c>
      <c r="AZ805" t="inlineStr">
        <is>
          <t>991001814789702656</t>
        </is>
      </c>
      <c r="BA805" t="inlineStr">
        <is>
          <t>2272735810002656</t>
        </is>
      </c>
      <c r="BB805" t="inlineStr">
        <is>
          <t>BOOK</t>
        </is>
      </c>
      <c r="BD805" t="inlineStr">
        <is>
          <t>9789688374160</t>
        </is>
      </c>
      <c r="BE805" t="inlineStr">
        <is>
          <t>32285002080454</t>
        </is>
      </c>
      <c r="BF805" t="inlineStr">
        <is>
          <t>893420650</t>
        </is>
      </c>
    </row>
    <row r="806">
      <c r="A806" t="inlineStr">
        <is>
          <t>No</t>
        </is>
      </c>
      <c r="B806" t="inlineStr">
        <is>
          <t>CURAL</t>
        </is>
      </c>
      <c r="C806" t="inlineStr">
        <is>
          <t>SHELVES</t>
        </is>
      </c>
      <c r="D806" t="inlineStr">
        <is>
          <t>PQ7082.N7 B718 1984</t>
        </is>
      </c>
      <c r="E806" t="inlineStr">
        <is>
          <t>0                      PQ 7082000N  7                  B  718         1984</t>
        </is>
      </c>
      <c r="F806" t="inlineStr">
        <is>
          <t>La novela hispanoamericana del siglo XX : una vista panorámica / John S. Brushwood ; traducción de Raymond L. Williams.</t>
        </is>
      </c>
      <c r="H806" t="inlineStr">
        <is>
          <t>No</t>
        </is>
      </c>
      <c r="I806" t="inlineStr">
        <is>
          <t>1</t>
        </is>
      </c>
      <c r="J806" t="inlineStr">
        <is>
          <t>No</t>
        </is>
      </c>
      <c r="K806" t="inlineStr">
        <is>
          <t>No</t>
        </is>
      </c>
      <c r="L806" t="inlineStr">
        <is>
          <t>0</t>
        </is>
      </c>
      <c r="M806" t="inlineStr">
        <is>
          <t>Brushwood, John S. (John Stubbs), 1920-2007.</t>
        </is>
      </c>
      <c r="N806" t="inlineStr">
        <is>
          <t>México : Fondo de Cultura Económica, 1984.</t>
        </is>
      </c>
      <c r="O806" t="inlineStr">
        <is>
          <t>1984</t>
        </is>
      </c>
      <c r="P806" t="inlineStr">
        <is>
          <t>1a ed.</t>
        </is>
      </c>
      <c r="Q806" t="inlineStr">
        <is>
          <t>spa</t>
        </is>
      </c>
      <c r="R806" t="inlineStr">
        <is>
          <t xml:space="preserve">mx </t>
        </is>
      </c>
      <c r="S806" t="inlineStr">
        <is>
          <t>Colección Tierra firme</t>
        </is>
      </c>
      <c r="T806" t="inlineStr">
        <is>
          <t xml:space="preserve">PQ </t>
        </is>
      </c>
      <c r="U806" t="n">
        <v>1</v>
      </c>
      <c r="V806" t="n">
        <v>1</v>
      </c>
      <c r="W806" t="inlineStr">
        <is>
          <t>2004-08-05</t>
        </is>
      </c>
      <c r="X806" t="inlineStr">
        <is>
          <t>2004-08-05</t>
        </is>
      </c>
      <c r="Y806" t="inlineStr">
        <is>
          <t>2004-08-05</t>
        </is>
      </c>
      <c r="Z806" t="inlineStr">
        <is>
          <t>2004-08-05</t>
        </is>
      </c>
      <c r="AA806" t="n">
        <v>188</v>
      </c>
      <c r="AB806" t="n">
        <v>134</v>
      </c>
      <c r="AC806" t="n">
        <v>140</v>
      </c>
      <c r="AD806" t="n">
        <v>2</v>
      </c>
      <c r="AE806" t="n">
        <v>2</v>
      </c>
      <c r="AF806" t="n">
        <v>6</v>
      </c>
      <c r="AG806" t="n">
        <v>6</v>
      </c>
      <c r="AH806" t="n">
        <v>1</v>
      </c>
      <c r="AI806" t="n">
        <v>1</v>
      </c>
      <c r="AJ806" t="n">
        <v>1</v>
      </c>
      <c r="AK806" t="n">
        <v>1</v>
      </c>
      <c r="AL806" t="n">
        <v>3</v>
      </c>
      <c r="AM806" t="n">
        <v>3</v>
      </c>
      <c r="AN806" t="n">
        <v>1</v>
      </c>
      <c r="AO806" t="n">
        <v>1</v>
      </c>
      <c r="AP806" t="n">
        <v>0</v>
      </c>
      <c r="AQ806" t="n">
        <v>0</v>
      </c>
      <c r="AR806" t="inlineStr">
        <is>
          <t>No</t>
        </is>
      </c>
      <c r="AS806" t="inlineStr">
        <is>
          <t>Yes</t>
        </is>
      </c>
      <c r="AT806">
        <f>HYPERLINK("http://catalog.hathitrust.org/Record/101095948","HathiTrust Record")</f>
        <v/>
      </c>
      <c r="AU806">
        <f>HYPERLINK("https://creighton-primo.hosted.exlibrisgroup.com/primo-explore/search?tab=default_tab&amp;search_scope=EVERYTHING&amp;vid=01CRU&amp;lang=en_US&amp;offset=0&amp;query=any,contains,991004338869702656","Catalog Record")</f>
        <v/>
      </c>
      <c r="AV806">
        <f>HYPERLINK("http://www.worldcat.org/oclc/12413391","WorldCat Record")</f>
        <v/>
      </c>
      <c r="AW806" t="inlineStr">
        <is>
          <t>4956987:spa</t>
        </is>
      </c>
      <c r="AX806" t="inlineStr">
        <is>
          <t>12413391</t>
        </is>
      </c>
      <c r="AY806" t="inlineStr">
        <is>
          <t>991004338869702656</t>
        </is>
      </c>
      <c r="AZ806" t="inlineStr">
        <is>
          <t>991004338869702656</t>
        </is>
      </c>
      <c r="BA806" t="inlineStr">
        <is>
          <t>2258728510002656</t>
        </is>
      </c>
      <c r="BB806" t="inlineStr">
        <is>
          <t>BOOK</t>
        </is>
      </c>
      <c r="BD806" t="inlineStr">
        <is>
          <t>9789681617110</t>
        </is>
      </c>
      <c r="BE806" t="inlineStr">
        <is>
          <t>32285004929328</t>
        </is>
      </c>
      <c r="BF806" t="inlineStr">
        <is>
          <t>893235364</t>
        </is>
      </c>
    </row>
    <row r="807">
      <c r="A807" t="inlineStr">
        <is>
          <t>No</t>
        </is>
      </c>
      <c r="B807" t="inlineStr">
        <is>
          <t>CURAL</t>
        </is>
      </c>
      <c r="C807" t="inlineStr">
        <is>
          <t>SHELVES</t>
        </is>
      </c>
      <c r="D807" t="inlineStr">
        <is>
          <t>PQ7082.N7 B86 1990</t>
        </is>
      </c>
      <c r="E807" t="inlineStr">
        <is>
          <t>0                      PQ 7082000N  7                  B  86          1990</t>
        </is>
      </c>
      <c r="F807" t="inlineStr">
        <is>
          <t>Barroco y América Latina : un itinerario inconcluso / Carmen Bustillo ; prólogo, Alexis Márquez Rodríguez.</t>
        </is>
      </c>
      <c r="H807" t="inlineStr">
        <is>
          <t>No</t>
        </is>
      </c>
      <c r="I807" t="inlineStr">
        <is>
          <t>1</t>
        </is>
      </c>
      <c r="J807" t="inlineStr">
        <is>
          <t>No</t>
        </is>
      </c>
      <c r="K807" t="inlineStr">
        <is>
          <t>Yes</t>
        </is>
      </c>
      <c r="L807" t="inlineStr">
        <is>
          <t>0</t>
        </is>
      </c>
      <c r="M807" t="inlineStr">
        <is>
          <t>Bustillo, Carmen.</t>
        </is>
      </c>
      <c r="N807" t="inlineStr">
        <is>
          <t>Caracas, Venezuela : Instituto de Altos Estudios de América Latina : Monte Avila Editores, 1990, c1988.</t>
        </is>
      </c>
      <c r="O807" t="inlineStr">
        <is>
          <t>1990</t>
        </is>
      </c>
      <c r="P807" t="inlineStr">
        <is>
          <t>1a. ed. en M.A.</t>
        </is>
      </c>
      <c r="Q807" t="inlineStr">
        <is>
          <t>spa</t>
        </is>
      </c>
      <c r="R807" t="inlineStr">
        <is>
          <t xml:space="preserve">ve </t>
        </is>
      </c>
      <c r="S807" t="inlineStr">
        <is>
          <t>Estudios</t>
        </is>
      </c>
      <c r="T807" t="inlineStr">
        <is>
          <t xml:space="preserve">PQ </t>
        </is>
      </c>
      <c r="U807" t="n">
        <v>1</v>
      </c>
      <c r="V807" t="n">
        <v>1</v>
      </c>
      <c r="W807" t="inlineStr">
        <is>
          <t>2002-07-29</t>
        </is>
      </c>
      <c r="X807" t="inlineStr">
        <is>
          <t>2002-07-29</t>
        </is>
      </c>
      <c r="Y807" t="inlineStr">
        <is>
          <t>2002-07-29</t>
        </is>
      </c>
      <c r="Z807" t="inlineStr">
        <is>
          <t>2002-07-29</t>
        </is>
      </c>
      <c r="AA807" t="n">
        <v>65</v>
      </c>
      <c r="AB807" t="n">
        <v>50</v>
      </c>
      <c r="AC807" t="n">
        <v>66</v>
      </c>
      <c r="AD807" t="n">
        <v>1</v>
      </c>
      <c r="AE807" t="n">
        <v>1</v>
      </c>
      <c r="AF807" t="n">
        <v>2</v>
      </c>
      <c r="AG807" t="n">
        <v>2</v>
      </c>
      <c r="AH807" t="n">
        <v>0</v>
      </c>
      <c r="AI807" t="n">
        <v>0</v>
      </c>
      <c r="AJ807" t="n">
        <v>0</v>
      </c>
      <c r="AK807" t="n">
        <v>0</v>
      </c>
      <c r="AL807" t="n">
        <v>2</v>
      </c>
      <c r="AM807" t="n">
        <v>2</v>
      </c>
      <c r="AN807" t="n">
        <v>0</v>
      </c>
      <c r="AO807" t="n">
        <v>0</v>
      </c>
      <c r="AP807" t="n">
        <v>0</v>
      </c>
      <c r="AQ807" t="n">
        <v>0</v>
      </c>
      <c r="AR807" t="inlineStr">
        <is>
          <t>No</t>
        </is>
      </c>
      <c r="AS807" t="inlineStr">
        <is>
          <t>Yes</t>
        </is>
      </c>
      <c r="AT807">
        <f>HYPERLINK("http://catalog.hathitrust.org/Record/101095610","HathiTrust Record")</f>
        <v/>
      </c>
      <c r="AU807">
        <f>HYPERLINK("https://creighton-primo.hosted.exlibrisgroup.com/primo-explore/search?tab=default_tab&amp;search_scope=EVERYTHING&amp;vid=01CRU&amp;lang=en_US&amp;offset=0&amp;query=any,contains,991003845889702656","Catalog Record")</f>
        <v/>
      </c>
      <c r="AV807">
        <f>HYPERLINK("http://www.worldcat.org/oclc/24339225","WorldCat Record")</f>
        <v/>
      </c>
      <c r="AW807" t="inlineStr">
        <is>
          <t>27156537:spa</t>
        </is>
      </c>
      <c r="AX807" t="inlineStr">
        <is>
          <t>24339225</t>
        </is>
      </c>
      <c r="AY807" t="inlineStr">
        <is>
          <t>991003845889702656</t>
        </is>
      </c>
      <c r="AZ807" t="inlineStr">
        <is>
          <t>991003845889702656</t>
        </is>
      </c>
      <c r="BA807" t="inlineStr">
        <is>
          <t>2267163540002656</t>
        </is>
      </c>
      <c r="BB807" t="inlineStr">
        <is>
          <t>BOOK</t>
        </is>
      </c>
      <c r="BD807" t="inlineStr">
        <is>
          <t>9789800102893</t>
        </is>
      </c>
      <c r="BE807" t="inlineStr">
        <is>
          <t>32285004499702</t>
        </is>
      </c>
      <c r="BF807" t="inlineStr">
        <is>
          <t>893894229</t>
        </is>
      </c>
    </row>
    <row r="808">
      <c r="A808" t="inlineStr">
        <is>
          <t>No</t>
        </is>
      </c>
      <c r="B808" t="inlineStr">
        <is>
          <t>CURAL</t>
        </is>
      </c>
      <c r="C808" t="inlineStr">
        <is>
          <t>SHELVES</t>
        </is>
      </c>
      <c r="D808" t="inlineStr">
        <is>
          <t>PQ7082.N7 B888 1996</t>
        </is>
      </c>
      <c r="E808" t="inlineStr">
        <is>
          <t>0                      PQ 7082000N  7                  B  888         1996</t>
        </is>
      </c>
      <c r="F808" t="inlineStr">
        <is>
          <t>Barroco y América Latina : un itinerario inconcluso / Carmen Bustillo ; prólogo: Alexis Márquez Rodríguez.</t>
        </is>
      </c>
      <c r="H808" t="inlineStr">
        <is>
          <t>No</t>
        </is>
      </c>
      <c r="I808" t="inlineStr">
        <is>
          <t>1</t>
        </is>
      </c>
      <c r="J808" t="inlineStr">
        <is>
          <t>No</t>
        </is>
      </c>
      <c r="K808" t="inlineStr">
        <is>
          <t>Yes</t>
        </is>
      </c>
      <c r="L808" t="inlineStr">
        <is>
          <t>0</t>
        </is>
      </c>
      <c r="M808" t="inlineStr">
        <is>
          <t>Bustillo, Carmen.</t>
        </is>
      </c>
      <c r="N808" t="inlineStr">
        <is>
          <t>Caracas (Venezuela) : Monte Ávila ; Venezuela : Universidad Simón Bolívar, 1996.</t>
        </is>
      </c>
      <c r="O808" t="inlineStr">
        <is>
          <t>1996</t>
        </is>
      </c>
      <c r="P808" t="inlineStr">
        <is>
          <t>2a. ed., aumentada.</t>
        </is>
      </c>
      <c r="Q808" t="inlineStr">
        <is>
          <t>spa</t>
        </is>
      </c>
      <c r="R808" t="inlineStr">
        <is>
          <t xml:space="preserve">ve </t>
        </is>
      </c>
      <c r="S808" t="inlineStr">
        <is>
          <t>Estudios. Serie Literatura</t>
        </is>
      </c>
      <c r="T808" t="inlineStr">
        <is>
          <t xml:space="preserve">PQ </t>
        </is>
      </c>
      <c r="U808" t="n">
        <v>1</v>
      </c>
      <c r="V808" t="n">
        <v>1</v>
      </c>
      <c r="W808" t="inlineStr">
        <is>
          <t>2002-04-09</t>
        </is>
      </c>
      <c r="X808" t="inlineStr">
        <is>
          <t>2002-04-09</t>
        </is>
      </c>
      <c r="Y808" t="inlineStr">
        <is>
          <t>2002-03-14</t>
        </is>
      </c>
      <c r="Z808" t="inlineStr">
        <is>
          <t>2002-03-14</t>
        </is>
      </c>
      <c r="AA808" t="n">
        <v>29</v>
      </c>
      <c r="AB808" t="n">
        <v>17</v>
      </c>
      <c r="AC808" t="n">
        <v>66</v>
      </c>
      <c r="AD808" t="n">
        <v>1</v>
      </c>
      <c r="AE808" t="n">
        <v>1</v>
      </c>
      <c r="AF808" t="n">
        <v>0</v>
      </c>
      <c r="AG808" t="n">
        <v>2</v>
      </c>
      <c r="AH808" t="n">
        <v>0</v>
      </c>
      <c r="AI808" t="n">
        <v>0</v>
      </c>
      <c r="AJ808" t="n">
        <v>0</v>
      </c>
      <c r="AK808" t="n">
        <v>0</v>
      </c>
      <c r="AL808" t="n">
        <v>0</v>
      </c>
      <c r="AM808" t="n">
        <v>2</v>
      </c>
      <c r="AN808" t="n">
        <v>0</v>
      </c>
      <c r="AO808" t="n">
        <v>0</v>
      </c>
      <c r="AP808" t="n">
        <v>0</v>
      </c>
      <c r="AQ808" t="n">
        <v>0</v>
      </c>
      <c r="AR808" t="inlineStr">
        <is>
          <t>No</t>
        </is>
      </c>
      <c r="AS808" t="inlineStr">
        <is>
          <t>No</t>
        </is>
      </c>
      <c r="AU808">
        <f>HYPERLINK("https://creighton-primo.hosted.exlibrisgroup.com/primo-explore/search?tab=default_tab&amp;search_scope=EVERYTHING&amp;vid=01CRU&amp;lang=en_US&amp;offset=0&amp;query=any,contains,991003765289702656","Catalog Record")</f>
        <v/>
      </c>
      <c r="AV808">
        <f>HYPERLINK("http://www.worldcat.org/oclc/37392297","WorldCat Record")</f>
        <v/>
      </c>
      <c r="AW808" t="inlineStr">
        <is>
          <t>27156537:spa</t>
        </is>
      </c>
      <c r="AX808" t="inlineStr">
        <is>
          <t>37392297</t>
        </is>
      </c>
      <c r="AY808" t="inlineStr">
        <is>
          <t>991003765289702656</t>
        </is>
      </c>
      <c r="AZ808" t="inlineStr">
        <is>
          <t>991003765289702656</t>
        </is>
      </c>
      <c r="BA808" t="inlineStr">
        <is>
          <t>2264869320002656</t>
        </is>
      </c>
      <c r="BB808" t="inlineStr">
        <is>
          <t>BOOK</t>
        </is>
      </c>
      <c r="BD808" t="inlineStr">
        <is>
          <t>9789800109632</t>
        </is>
      </c>
      <c r="BE808" t="inlineStr">
        <is>
          <t>32285004461231</t>
        </is>
      </c>
      <c r="BF808" t="inlineStr">
        <is>
          <t>893234558</t>
        </is>
      </c>
    </row>
    <row r="809">
      <c r="A809" t="inlineStr">
        <is>
          <t>No</t>
        </is>
      </c>
      <c r="B809" t="inlineStr">
        <is>
          <t>CURAL</t>
        </is>
      </c>
      <c r="C809" t="inlineStr">
        <is>
          <t>SHELVES</t>
        </is>
      </c>
      <c r="D809" t="inlineStr">
        <is>
          <t>PQ7082.N7 B89 1995</t>
        </is>
      </c>
      <c r="E809" t="inlineStr">
        <is>
          <t>0                      PQ 7082000N  7                  B  89          1995</t>
        </is>
      </c>
      <c r="F809" t="inlineStr">
        <is>
          <t>El ente de papel : estudio del personaje en la narrativa latinoamericana / Carmen Bustillo.</t>
        </is>
      </c>
      <c r="H809" t="inlineStr">
        <is>
          <t>No</t>
        </is>
      </c>
      <c r="I809" t="inlineStr">
        <is>
          <t>1</t>
        </is>
      </c>
      <c r="J809" t="inlineStr">
        <is>
          <t>No</t>
        </is>
      </c>
      <c r="K809" t="inlineStr">
        <is>
          <t>No</t>
        </is>
      </c>
      <c r="L809" t="inlineStr">
        <is>
          <t>0</t>
        </is>
      </c>
      <c r="M809" t="inlineStr">
        <is>
          <t>Bustillo, Carmen.</t>
        </is>
      </c>
      <c r="N809" t="inlineStr">
        <is>
          <t>Caracas : Vadell Hnos., c1995.</t>
        </is>
      </c>
      <c r="O809" t="inlineStr">
        <is>
          <t>1995</t>
        </is>
      </c>
      <c r="Q809" t="inlineStr">
        <is>
          <t>spa</t>
        </is>
      </c>
      <c r="R809" t="inlineStr">
        <is>
          <t xml:space="preserve">ve </t>
        </is>
      </c>
      <c r="T809" t="inlineStr">
        <is>
          <t xml:space="preserve">PQ </t>
        </is>
      </c>
      <c r="U809" t="n">
        <v>1</v>
      </c>
      <c r="V809" t="n">
        <v>1</v>
      </c>
      <c r="W809" t="inlineStr">
        <is>
          <t>2001-12-13</t>
        </is>
      </c>
      <c r="X809" t="inlineStr">
        <is>
          <t>2001-12-13</t>
        </is>
      </c>
      <c r="Y809" t="inlineStr">
        <is>
          <t>2001-12-13</t>
        </is>
      </c>
      <c r="Z809" t="inlineStr">
        <is>
          <t>2001-12-13</t>
        </is>
      </c>
      <c r="AA809" t="n">
        <v>59</v>
      </c>
      <c r="AB809" t="n">
        <v>50</v>
      </c>
      <c r="AC809" t="n">
        <v>52</v>
      </c>
      <c r="AD809" t="n">
        <v>1</v>
      </c>
      <c r="AE809" t="n">
        <v>1</v>
      </c>
      <c r="AF809" t="n">
        <v>1</v>
      </c>
      <c r="AG809" t="n">
        <v>1</v>
      </c>
      <c r="AH809" t="n">
        <v>0</v>
      </c>
      <c r="AI809" t="n">
        <v>0</v>
      </c>
      <c r="AJ809" t="n">
        <v>0</v>
      </c>
      <c r="AK809" t="n">
        <v>0</v>
      </c>
      <c r="AL809" t="n">
        <v>1</v>
      </c>
      <c r="AM809" t="n">
        <v>1</v>
      </c>
      <c r="AN809" t="n">
        <v>0</v>
      </c>
      <c r="AO809" t="n">
        <v>0</v>
      </c>
      <c r="AP809" t="n">
        <v>0</v>
      </c>
      <c r="AQ809" t="n">
        <v>0</v>
      </c>
      <c r="AR809" t="inlineStr">
        <is>
          <t>No</t>
        </is>
      </c>
      <c r="AS809" t="inlineStr">
        <is>
          <t>Yes</t>
        </is>
      </c>
      <c r="AT809">
        <f>HYPERLINK("http://catalog.hathitrust.org/Record/101095953","HathiTrust Record")</f>
        <v/>
      </c>
      <c r="AU809">
        <f>HYPERLINK("https://creighton-primo.hosted.exlibrisgroup.com/primo-explore/search?tab=default_tab&amp;search_scope=EVERYTHING&amp;vid=01CRU&amp;lang=en_US&amp;offset=0&amp;query=any,contains,991003699899702656","Catalog Record")</f>
        <v/>
      </c>
      <c r="AV809">
        <f>HYPERLINK("http://www.worldcat.org/oclc/35298819","WorldCat Record")</f>
        <v/>
      </c>
      <c r="AW809" t="inlineStr">
        <is>
          <t>476871426:spa</t>
        </is>
      </c>
      <c r="AX809" t="inlineStr">
        <is>
          <t>35298819</t>
        </is>
      </c>
      <c r="AY809" t="inlineStr">
        <is>
          <t>991003699899702656</t>
        </is>
      </c>
      <c r="AZ809" t="inlineStr">
        <is>
          <t>991003699899702656</t>
        </is>
      </c>
      <c r="BA809" t="inlineStr">
        <is>
          <t>2260413580002656</t>
        </is>
      </c>
      <c r="BB809" t="inlineStr">
        <is>
          <t>BOOK</t>
        </is>
      </c>
      <c r="BD809" t="inlineStr">
        <is>
          <t>9789802122011</t>
        </is>
      </c>
      <c r="BE809" t="inlineStr">
        <is>
          <t>32285004428842</t>
        </is>
      </c>
      <c r="BF809" t="inlineStr">
        <is>
          <t>893435319</t>
        </is>
      </c>
    </row>
    <row r="810">
      <c r="A810" t="inlineStr">
        <is>
          <t>No</t>
        </is>
      </c>
      <c r="B810" t="inlineStr">
        <is>
          <t>CURAL</t>
        </is>
      </c>
      <c r="C810" t="inlineStr">
        <is>
          <t>SHELVES</t>
        </is>
      </c>
      <c r="D810" t="inlineStr">
        <is>
          <t>PQ7082.N7 C258 1987</t>
        </is>
      </c>
      <c r="E810" t="inlineStr">
        <is>
          <t>0                      PQ 7082000N  7                  C  258         1987</t>
        </is>
      </c>
      <c r="F810" t="inlineStr">
        <is>
          <t>Historia, ideología y mito en la narrativa hispanoamericana contemporánea / Julio Calviño.</t>
        </is>
      </c>
      <c r="H810" t="inlineStr">
        <is>
          <t>No</t>
        </is>
      </c>
      <c r="I810" t="inlineStr">
        <is>
          <t>1</t>
        </is>
      </c>
      <c r="J810" t="inlineStr">
        <is>
          <t>No</t>
        </is>
      </c>
      <c r="K810" t="inlineStr">
        <is>
          <t>No</t>
        </is>
      </c>
      <c r="L810" t="inlineStr">
        <is>
          <t>0</t>
        </is>
      </c>
      <c r="M810" t="inlineStr">
        <is>
          <t>Calviño Iglesias, Julio, 1947-</t>
        </is>
      </c>
      <c r="N810" t="inlineStr">
        <is>
          <t>Madrid : Ayuso, 1987.</t>
        </is>
      </c>
      <c r="O810" t="inlineStr">
        <is>
          <t>1987</t>
        </is>
      </c>
      <c r="Q810" t="inlineStr">
        <is>
          <t>spa</t>
        </is>
      </c>
      <c r="R810" t="inlineStr">
        <is>
          <t xml:space="preserve">sp </t>
        </is>
      </c>
      <c r="T810" t="inlineStr">
        <is>
          <t xml:space="preserve">PQ </t>
        </is>
      </c>
      <c r="U810" t="n">
        <v>2</v>
      </c>
      <c r="V810" t="n">
        <v>2</v>
      </c>
      <c r="W810" t="inlineStr">
        <is>
          <t>2001-11-30</t>
        </is>
      </c>
      <c r="X810" t="inlineStr">
        <is>
          <t>2001-11-30</t>
        </is>
      </c>
      <c r="Y810" t="inlineStr">
        <is>
          <t>1995-05-03</t>
        </is>
      </c>
      <c r="Z810" t="inlineStr">
        <is>
          <t>1995-05-03</t>
        </is>
      </c>
      <c r="AA810" t="n">
        <v>132</v>
      </c>
      <c r="AB810" t="n">
        <v>101</v>
      </c>
      <c r="AC810" t="n">
        <v>110</v>
      </c>
      <c r="AD810" t="n">
        <v>2</v>
      </c>
      <c r="AE810" t="n">
        <v>2</v>
      </c>
      <c r="AF810" t="n">
        <v>5</v>
      </c>
      <c r="AG810" t="n">
        <v>5</v>
      </c>
      <c r="AH810" t="n">
        <v>2</v>
      </c>
      <c r="AI810" t="n">
        <v>2</v>
      </c>
      <c r="AJ810" t="n">
        <v>1</v>
      </c>
      <c r="AK810" t="n">
        <v>1</v>
      </c>
      <c r="AL810" t="n">
        <v>2</v>
      </c>
      <c r="AM810" t="n">
        <v>2</v>
      </c>
      <c r="AN810" t="n">
        <v>1</v>
      </c>
      <c r="AO810" t="n">
        <v>1</v>
      </c>
      <c r="AP810" t="n">
        <v>0</v>
      </c>
      <c r="AQ810" t="n">
        <v>0</v>
      </c>
      <c r="AR810" t="inlineStr">
        <is>
          <t>No</t>
        </is>
      </c>
      <c r="AS810" t="inlineStr">
        <is>
          <t>Yes</t>
        </is>
      </c>
      <c r="AT810">
        <f>HYPERLINK("http://catalog.hathitrust.org/Record/000945971","HathiTrust Record")</f>
        <v/>
      </c>
      <c r="AU810">
        <f>HYPERLINK("https://creighton-primo.hosted.exlibrisgroup.com/primo-explore/search?tab=default_tab&amp;search_scope=EVERYTHING&amp;vid=01CRU&amp;lang=en_US&amp;offset=0&amp;query=any,contains,991001371719702656","Catalog Record")</f>
        <v/>
      </c>
      <c r="AV810">
        <f>HYPERLINK("http://www.worldcat.org/oclc/18580988","WorldCat Record")</f>
        <v/>
      </c>
      <c r="AW810" t="inlineStr">
        <is>
          <t>17843566:spa</t>
        </is>
      </c>
      <c r="AX810" t="inlineStr">
        <is>
          <t>18580988</t>
        </is>
      </c>
      <c r="AY810" t="inlineStr">
        <is>
          <t>991001371719702656</t>
        </is>
      </c>
      <c r="AZ810" t="inlineStr">
        <is>
          <t>991001371719702656</t>
        </is>
      </c>
      <c r="BA810" t="inlineStr">
        <is>
          <t>2258681180002656</t>
        </is>
      </c>
      <c r="BB810" t="inlineStr">
        <is>
          <t>BOOK</t>
        </is>
      </c>
      <c r="BD810" t="inlineStr">
        <is>
          <t>9788433602992</t>
        </is>
      </c>
      <c r="BE810" t="inlineStr">
        <is>
          <t>32285002037546</t>
        </is>
      </c>
      <c r="BF810" t="inlineStr">
        <is>
          <t>893346445</t>
        </is>
      </c>
    </row>
    <row r="811">
      <c r="A811" t="inlineStr">
        <is>
          <t>No</t>
        </is>
      </c>
      <c r="B811" t="inlineStr">
        <is>
          <t>CURAL</t>
        </is>
      </c>
      <c r="C811" t="inlineStr">
        <is>
          <t>SHELVES</t>
        </is>
      </c>
      <c r="D811" t="inlineStr">
        <is>
          <t>PQ7082.N7 C4618 1983</t>
        </is>
      </c>
      <c r="E811" t="inlineStr">
        <is>
          <t>0                      PQ 7082000N  7                  C  4618        1983</t>
        </is>
      </c>
      <c r="F811" t="inlineStr">
        <is>
          <t>El realismo maravilloso : forma e ideología en la novela hispanoamericana / Irlemar Chiampi.</t>
        </is>
      </c>
      <c r="H811" t="inlineStr">
        <is>
          <t>No</t>
        </is>
      </c>
      <c r="I811" t="inlineStr">
        <is>
          <t>1</t>
        </is>
      </c>
      <c r="J811" t="inlineStr">
        <is>
          <t>No</t>
        </is>
      </c>
      <c r="K811" t="inlineStr">
        <is>
          <t>No</t>
        </is>
      </c>
      <c r="L811" t="inlineStr">
        <is>
          <t>0</t>
        </is>
      </c>
      <c r="M811" t="inlineStr">
        <is>
          <t>Chiampi, Irlemar.</t>
        </is>
      </c>
      <c r="N811" t="inlineStr">
        <is>
          <t>Caracas : Monte Avila, 1983.</t>
        </is>
      </c>
      <c r="O811" t="inlineStr">
        <is>
          <t>1983</t>
        </is>
      </c>
      <c r="Q811" t="inlineStr">
        <is>
          <t>spa</t>
        </is>
      </c>
      <c r="R811" t="inlineStr">
        <is>
          <t xml:space="preserve">ve </t>
        </is>
      </c>
      <c r="S811" t="inlineStr">
        <is>
          <t>Colección Estudios</t>
        </is>
      </c>
      <c r="T811" t="inlineStr">
        <is>
          <t xml:space="preserve">PQ </t>
        </is>
      </c>
      <c r="U811" t="n">
        <v>2</v>
      </c>
      <c r="V811" t="n">
        <v>2</v>
      </c>
      <c r="W811" t="inlineStr">
        <is>
          <t>2003-02-19</t>
        </is>
      </c>
      <c r="X811" t="inlineStr">
        <is>
          <t>2003-02-19</t>
        </is>
      </c>
      <c r="Y811" t="inlineStr">
        <is>
          <t>1995-08-17</t>
        </is>
      </c>
      <c r="Z811" t="inlineStr">
        <is>
          <t>1995-08-17</t>
        </is>
      </c>
      <c r="AA811" t="n">
        <v>103</v>
      </c>
      <c r="AB811" t="n">
        <v>74</v>
      </c>
      <c r="AC811" t="n">
        <v>76</v>
      </c>
      <c r="AD811" t="n">
        <v>1</v>
      </c>
      <c r="AE811" t="n">
        <v>1</v>
      </c>
      <c r="AF811" t="n">
        <v>1</v>
      </c>
      <c r="AG811" t="n">
        <v>1</v>
      </c>
      <c r="AH811" t="n">
        <v>0</v>
      </c>
      <c r="AI811" t="n">
        <v>0</v>
      </c>
      <c r="AJ811" t="n">
        <v>1</v>
      </c>
      <c r="AK811" t="n">
        <v>1</v>
      </c>
      <c r="AL811" t="n">
        <v>0</v>
      </c>
      <c r="AM811" t="n">
        <v>0</v>
      </c>
      <c r="AN811" t="n">
        <v>0</v>
      </c>
      <c r="AO811" t="n">
        <v>0</v>
      </c>
      <c r="AP811" t="n">
        <v>0</v>
      </c>
      <c r="AQ811" t="n">
        <v>0</v>
      </c>
      <c r="AR811" t="inlineStr">
        <is>
          <t>No</t>
        </is>
      </c>
      <c r="AS811" t="inlineStr">
        <is>
          <t>Yes</t>
        </is>
      </c>
      <c r="AT811">
        <f>HYPERLINK("http://catalog.hathitrust.org/Record/008321449","HathiTrust Record")</f>
        <v/>
      </c>
      <c r="AU811">
        <f>HYPERLINK("https://creighton-primo.hosted.exlibrisgroup.com/primo-explore/search?tab=default_tab&amp;search_scope=EVERYTHING&amp;vid=01CRU&amp;lang=en_US&amp;offset=0&amp;query=any,contains,991000466159702656","Catalog Record")</f>
        <v/>
      </c>
      <c r="AV811">
        <f>HYPERLINK("http://www.worldcat.org/oclc/10962535","WorldCat Record")</f>
        <v/>
      </c>
      <c r="AW811" t="inlineStr">
        <is>
          <t>427786066:spa</t>
        </is>
      </c>
      <c r="AX811" t="inlineStr">
        <is>
          <t>10962535</t>
        </is>
      </c>
      <c r="AY811" t="inlineStr">
        <is>
          <t>991000466159702656</t>
        </is>
      </c>
      <c r="AZ811" t="inlineStr">
        <is>
          <t>991000466159702656</t>
        </is>
      </c>
      <c r="BA811" t="inlineStr">
        <is>
          <t>2255350400002656</t>
        </is>
      </c>
      <c r="BB811" t="inlineStr">
        <is>
          <t>BOOK</t>
        </is>
      </c>
      <c r="BE811" t="inlineStr">
        <is>
          <t>32285002080512</t>
        </is>
      </c>
      <c r="BF811" t="inlineStr">
        <is>
          <t>893496255</t>
        </is>
      </c>
    </row>
    <row r="812">
      <c r="A812" t="inlineStr">
        <is>
          <t>No</t>
        </is>
      </c>
      <c r="B812" t="inlineStr">
        <is>
          <t>CURAL</t>
        </is>
      </c>
      <c r="C812" t="inlineStr">
        <is>
          <t>SHELVES</t>
        </is>
      </c>
      <c r="D812" t="inlineStr">
        <is>
          <t>PQ7082.N7 C58 1967</t>
        </is>
      </c>
      <c r="E812" t="inlineStr">
        <is>
          <t>0                      PQ 7082000N  7                  C  58          1967</t>
        </is>
      </c>
      <c r="F812" t="inlineStr">
        <is>
          <t>Coloquio sobre la novela hispanoamericana / [por] Ivan A. Schulman [et al.]</t>
        </is>
      </c>
      <c r="H812" t="inlineStr">
        <is>
          <t>No</t>
        </is>
      </c>
      <c r="I812" t="inlineStr">
        <is>
          <t>1</t>
        </is>
      </c>
      <c r="J812" t="inlineStr">
        <is>
          <t>No</t>
        </is>
      </c>
      <c r="K812" t="inlineStr">
        <is>
          <t>No</t>
        </is>
      </c>
      <c r="L812" t="inlineStr">
        <is>
          <t>0</t>
        </is>
      </c>
      <c r="N812" t="inlineStr">
        <is>
          <t>México : Tezontle, [1967]</t>
        </is>
      </c>
      <c r="O812" t="inlineStr">
        <is>
          <t>1967</t>
        </is>
      </c>
      <c r="P812" t="inlineStr">
        <is>
          <t>[1. ed.]</t>
        </is>
      </c>
      <c r="Q812" t="inlineStr">
        <is>
          <t>spa</t>
        </is>
      </c>
      <c r="R812" t="inlineStr">
        <is>
          <t xml:space="preserve">mx </t>
        </is>
      </c>
      <c r="T812" t="inlineStr">
        <is>
          <t xml:space="preserve">PQ </t>
        </is>
      </c>
      <c r="U812" t="n">
        <v>1</v>
      </c>
      <c r="V812" t="n">
        <v>1</v>
      </c>
      <c r="W812" t="inlineStr">
        <is>
          <t>2005-04-06</t>
        </is>
      </c>
      <c r="X812" t="inlineStr">
        <is>
          <t>2005-04-06</t>
        </is>
      </c>
      <c r="Y812" t="inlineStr">
        <is>
          <t>2005-04-06</t>
        </is>
      </c>
      <c r="Z812" t="inlineStr">
        <is>
          <t>2005-04-06</t>
        </is>
      </c>
      <c r="AA812" t="n">
        <v>157</v>
      </c>
      <c r="AB812" t="n">
        <v>127</v>
      </c>
      <c r="AC812" t="n">
        <v>130</v>
      </c>
      <c r="AD812" t="n">
        <v>2</v>
      </c>
      <c r="AE812" t="n">
        <v>2</v>
      </c>
      <c r="AF812" t="n">
        <v>6</v>
      </c>
      <c r="AG812" t="n">
        <v>6</v>
      </c>
      <c r="AH812" t="n">
        <v>1</v>
      </c>
      <c r="AI812" t="n">
        <v>1</v>
      </c>
      <c r="AJ812" t="n">
        <v>2</v>
      </c>
      <c r="AK812" t="n">
        <v>2</v>
      </c>
      <c r="AL812" t="n">
        <v>3</v>
      </c>
      <c r="AM812" t="n">
        <v>3</v>
      </c>
      <c r="AN812" t="n">
        <v>1</v>
      </c>
      <c r="AO812" t="n">
        <v>1</v>
      </c>
      <c r="AP812" t="n">
        <v>0</v>
      </c>
      <c r="AQ812" t="n">
        <v>0</v>
      </c>
      <c r="AR812" t="inlineStr">
        <is>
          <t>No</t>
        </is>
      </c>
      <c r="AS812" t="inlineStr">
        <is>
          <t>Yes</t>
        </is>
      </c>
      <c r="AT812">
        <f>HYPERLINK("http://catalog.hathitrust.org/Record/101389636","HathiTrust Record")</f>
        <v/>
      </c>
      <c r="AU812">
        <f>HYPERLINK("https://creighton-primo.hosted.exlibrisgroup.com/primo-explore/search?tab=default_tab&amp;search_scope=EVERYTHING&amp;vid=01CRU&amp;lang=en_US&amp;offset=0&amp;query=any,contains,991004523459702656","Catalog Record")</f>
        <v/>
      </c>
      <c r="AV812">
        <f>HYPERLINK("http://www.worldcat.org/oclc/1134640","WorldCat Record")</f>
        <v/>
      </c>
      <c r="AW812" t="inlineStr">
        <is>
          <t>3855342798:spa</t>
        </is>
      </c>
      <c r="AX812" t="inlineStr">
        <is>
          <t>1134640</t>
        </is>
      </c>
      <c r="AY812" t="inlineStr">
        <is>
          <t>991004523459702656</t>
        </is>
      </c>
      <c r="AZ812" t="inlineStr">
        <is>
          <t>991004523459702656</t>
        </is>
      </c>
      <c r="BA812" t="inlineStr">
        <is>
          <t>2267997610002656</t>
        </is>
      </c>
      <c r="BB812" t="inlineStr">
        <is>
          <t>BOOK</t>
        </is>
      </c>
      <c r="BE812" t="inlineStr">
        <is>
          <t>32285005048474</t>
        </is>
      </c>
      <c r="BF812" t="inlineStr">
        <is>
          <t>893253784</t>
        </is>
      </c>
    </row>
    <row r="813">
      <c r="A813" t="inlineStr">
        <is>
          <t>No</t>
        </is>
      </c>
      <c r="B813" t="inlineStr">
        <is>
          <t>CURAL</t>
        </is>
      </c>
      <c r="C813" t="inlineStr">
        <is>
          <t>SHELVES</t>
        </is>
      </c>
      <c r="D813" t="inlineStr">
        <is>
          <t>PQ7082.N7 G27 1987</t>
        </is>
      </c>
      <c r="E813" t="inlineStr">
        <is>
          <t>0                      PQ 7082000N  7                  G  27          1987</t>
        </is>
      </c>
      <c r="F813" t="inlineStr">
        <is>
          <t>La novela hispanoamericana contemporánea / Marina Gálvez Avero.</t>
        </is>
      </c>
      <c r="H813" t="inlineStr">
        <is>
          <t>No</t>
        </is>
      </c>
      <c r="I813" t="inlineStr">
        <is>
          <t>1</t>
        </is>
      </c>
      <c r="J813" t="inlineStr">
        <is>
          <t>No</t>
        </is>
      </c>
      <c r="K813" t="inlineStr">
        <is>
          <t>No</t>
        </is>
      </c>
      <c r="L813" t="inlineStr">
        <is>
          <t>0</t>
        </is>
      </c>
      <c r="M813" t="inlineStr">
        <is>
          <t>Gálvez Acero, Marina.</t>
        </is>
      </c>
      <c r="N813" t="inlineStr">
        <is>
          <t>Madrid : Taurus, c1987.</t>
        </is>
      </c>
      <c r="O813" t="inlineStr">
        <is>
          <t>1987</t>
        </is>
      </c>
      <c r="Q813" t="inlineStr">
        <is>
          <t>spa</t>
        </is>
      </c>
      <c r="R813" t="inlineStr">
        <is>
          <t xml:space="preserve">sp </t>
        </is>
      </c>
      <c r="S813" t="inlineStr">
        <is>
          <t>Historia crítica de la literatura hispánica ; 33</t>
        </is>
      </c>
      <c r="T813" t="inlineStr">
        <is>
          <t xml:space="preserve">PQ </t>
        </is>
      </c>
      <c r="U813" t="n">
        <v>1</v>
      </c>
      <c r="V813" t="n">
        <v>1</v>
      </c>
      <c r="W813" t="inlineStr">
        <is>
          <t>2001-12-13</t>
        </is>
      </c>
      <c r="X813" t="inlineStr">
        <is>
          <t>2001-12-13</t>
        </is>
      </c>
      <c r="Y813" t="inlineStr">
        <is>
          <t>2001-12-13</t>
        </is>
      </c>
      <c r="Z813" t="inlineStr">
        <is>
          <t>2001-12-13</t>
        </is>
      </c>
      <c r="AA813" t="n">
        <v>199</v>
      </c>
      <c r="AB813" t="n">
        <v>147</v>
      </c>
      <c r="AC813" t="n">
        <v>156</v>
      </c>
      <c r="AD813" t="n">
        <v>3</v>
      </c>
      <c r="AE813" t="n">
        <v>3</v>
      </c>
      <c r="AF813" t="n">
        <v>7</v>
      </c>
      <c r="AG813" t="n">
        <v>7</v>
      </c>
      <c r="AH813" t="n">
        <v>2</v>
      </c>
      <c r="AI813" t="n">
        <v>2</v>
      </c>
      <c r="AJ813" t="n">
        <v>2</v>
      </c>
      <c r="AK813" t="n">
        <v>2</v>
      </c>
      <c r="AL813" t="n">
        <v>3</v>
      </c>
      <c r="AM813" t="n">
        <v>3</v>
      </c>
      <c r="AN813" t="n">
        <v>2</v>
      </c>
      <c r="AO813" t="n">
        <v>2</v>
      </c>
      <c r="AP813" t="n">
        <v>0</v>
      </c>
      <c r="AQ813" t="n">
        <v>0</v>
      </c>
      <c r="AR813" t="inlineStr">
        <is>
          <t>No</t>
        </is>
      </c>
      <c r="AS813" t="inlineStr">
        <is>
          <t>Yes</t>
        </is>
      </c>
      <c r="AT813">
        <f>HYPERLINK("http://catalog.hathitrust.org/Record/000879256","HathiTrust Record")</f>
        <v/>
      </c>
      <c r="AU813">
        <f>HYPERLINK("https://creighton-primo.hosted.exlibrisgroup.com/primo-explore/search?tab=default_tab&amp;search_scope=EVERYTHING&amp;vid=01CRU&amp;lang=en_US&amp;offset=0&amp;query=any,contains,991003699359702656","Catalog Record")</f>
        <v/>
      </c>
      <c r="AV813">
        <f>HYPERLINK("http://www.worldcat.org/oclc/17165153","WorldCat Record")</f>
        <v/>
      </c>
      <c r="AW813" t="inlineStr">
        <is>
          <t>350802032:spa</t>
        </is>
      </c>
      <c r="AX813" t="inlineStr">
        <is>
          <t>17165153</t>
        </is>
      </c>
      <c r="AY813" t="inlineStr">
        <is>
          <t>991003699359702656</t>
        </is>
      </c>
      <c r="AZ813" t="inlineStr">
        <is>
          <t>991003699359702656</t>
        </is>
      </c>
      <c r="BA813" t="inlineStr">
        <is>
          <t>2262464070002656</t>
        </is>
      </c>
      <c r="BB813" t="inlineStr">
        <is>
          <t>BOOK</t>
        </is>
      </c>
      <c r="BD813" t="inlineStr">
        <is>
          <t>9788430625321</t>
        </is>
      </c>
      <c r="BE813" t="inlineStr">
        <is>
          <t>32285004428644</t>
        </is>
      </c>
      <c r="BF813" t="inlineStr">
        <is>
          <t>893246644</t>
        </is>
      </c>
    </row>
    <row r="814">
      <c r="A814" t="inlineStr">
        <is>
          <t>No</t>
        </is>
      </c>
      <c r="B814" t="inlineStr">
        <is>
          <t>CURAL</t>
        </is>
      </c>
      <c r="C814" t="inlineStr">
        <is>
          <t>SHELVES</t>
        </is>
      </c>
      <c r="D814" t="inlineStr">
        <is>
          <t>PQ7082.N7 G685 1992</t>
        </is>
      </c>
      <c r="E814" t="inlineStr">
        <is>
          <t>0                      PQ 7082000N  7                  G  685         1992</t>
        </is>
      </c>
      <c r="F814" t="inlineStr">
        <is>
          <t>La duda del escorpiaon : la tradiciaon heterodoxa en la narrativa latinoamericana (anaalisis sociolaogico de cinco modelos narrativos) / Beatriz Gonzaalez Stephan.</t>
        </is>
      </c>
      <c r="H814" t="inlineStr">
        <is>
          <t>No</t>
        </is>
      </c>
      <c r="I814" t="inlineStr">
        <is>
          <t>1</t>
        </is>
      </c>
      <c r="J814" t="inlineStr">
        <is>
          <t>No</t>
        </is>
      </c>
      <c r="K814" t="inlineStr">
        <is>
          <t>No</t>
        </is>
      </c>
      <c r="L814" t="inlineStr">
        <is>
          <t>0</t>
        </is>
      </c>
      <c r="M814" t="inlineStr">
        <is>
          <t>Gonzaalez Stephan, Beatriz.</t>
        </is>
      </c>
      <c r="N814" t="inlineStr">
        <is>
          <t>Caracas : Academia Nacional de la Historia, 1992.</t>
        </is>
      </c>
      <c r="O814" t="inlineStr">
        <is>
          <t>1992</t>
        </is>
      </c>
      <c r="Q814" t="inlineStr">
        <is>
          <t>spa</t>
        </is>
      </c>
      <c r="R814" t="inlineStr">
        <is>
          <t xml:space="preserve">ve </t>
        </is>
      </c>
      <c r="S814" t="inlineStr">
        <is>
          <t>Biblioteca de la Academia Nacional de la Historia. Estudios, monografaias y ensayos ; 154</t>
        </is>
      </c>
      <c r="T814" t="inlineStr">
        <is>
          <t xml:space="preserve">PQ </t>
        </is>
      </c>
      <c r="U814" t="n">
        <v>1</v>
      </c>
      <c r="V814" t="n">
        <v>1</v>
      </c>
      <c r="W814" t="inlineStr">
        <is>
          <t>2004-08-04</t>
        </is>
      </c>
      <c r="X814" t="inlineStr">
        <is>
          <t>2004-08-04</t>
        </is>
      </c>
      <c r="Y814" t="inlineStr">
        <is>
          <t>2004-08-04</t>
        </is>
      </c>
      <c r="Z814" t="inlineStr">
        <is>
          <t>2004-08-04</t>
        </is>
      </c>
      <c r="AA814" t="n">
        <v>33</v>
      </c>
      <c r="AB814" t="n">
        <v>27</v>
      </c>
      <c r="AC814" t="n">
        <v>31</v>
      </c>
      <c r="AD814" t="n">
        <v>1</v>
      </c>
      <c r="AE814" t="n">
        <v>1</v>
      </c>
      <c r="AF814" t="n">
        <v>0</v>
      </c>
      <c r="AG814" t="n">
        <v>0</v>
      </c>
      <c r="AH814" t="n">
        <v>0</v>
      </c>
      <c r="AI814" t="n">
        <v>0</v>
      </c>
      <c r="AJ814" t="n">
        <v>0</v>
      </c>
      <c r="AK814" t="n">
        <v>0</v>
      </c>
      <c r="AL814" t="n">
        <v>0</v>
      </c>
      <c r="AM814" t="n">
        <v>0</v>
      </c>
      <c r="AN814" t="n">
        <v>0</v>
      </c>
      <c r="AO814" t="n">
        <v>0</v>
      </c>
      <c r="AP814" t="n">
        <v>0</v>
      </c>
      <c r="AQ814" t="n">
        <v>0</v>
      </c>
      <c r="AR814" t="inlineStr">
        <is>
          <t>No</t>
        </is>
      </c>
      <c r="AS814" t="inlineStr">
        <is>
          <t>Yes</t>
        </is>
      </c>
      <c r="AT814">
        <f>HYPERLINK("http://catalog.hathitrust.org/Record/101095971","HathiTrust Record")</f>
        <v/>
      </c>
      <c r="AU814">
        <f>HYPERLINK("https://creighton-primo.hosted.exlibrisgroup.com/primo-explore/search?tab=default_tab&amp;search_scope=EVERYTHING&amp;vid=01CRU&amp;lang=en_US&amp;offset=0&amp;query=any,contains,991004335769702656","Catalog Record")</f>
        <v/>
      </c>
      <c r="AV814">
        <f>HYPERLINK("http://www.worldcat.org/oclc/28708740","WorldCat Record")</f>
        <v/>
      </c>
      <c r="AW814" t="inlineStr">
        <is>
          <t>1808902057:spa</t>
        </is>
      </c>
      <c r="AX814" t="inlineStr">
        <is>
          <t>28708740</t>
        </is>
      </c>
      <c r="AY814" t="inlineStr">
        <is>
          <t>991004335769702656</t>
        </is>
      </c>
      <c r="AZ814" t="inlineStr">
        <is>
          <t>991004335769702656</t>
        </is>
      </c>
      <c r="BA814" t="inlineStr">
        <is>
          <t>2256839530002656</t>
        </is>
      </c>
      <c r="BB814" t="inlineStr">
        <is>
          <t>BOOK</t>
        </is>
      </c>
      <c r="BD814" t="inlineStr">
        <is>
          <t>9789802227204</t>
        </is>
      </c>
      <c r="BE814" t="inlineStr">
        <is>
          <t>32285004928189</t>
        </is>
      </c>
      <c r="BF814" t="inlineStr">
        <is>
          <t>893429933</t>
        </is>
      </c>
    </row>
    <row r="815">
      <c r="A815" t="inlineStr">
        <is>
          <t>No</t>
        </is>
      </c>
      <c r="B815" t="inlineStr">
        <is>
          <t>CURAL</t>
        </is>
      </c>
      <c r="C815" t="inlineStr">
        <is>
          <t>SHELVES</t>
        </is>
      </c>
      <c r="D815" t="inlineStr">
        <is>
          <t>PQ7082.N7 H55 1984</t>
        </is>
      </c>
      <c r="E815" t="inlineStr">
        <is>
          <t>0                      PQ 7082000N  7                  H  55          1984</t>
        </is>
      </c>
      <c r="F815" t="inlineStr">
        <is>
          <t>Historia y ficción en la narrativa hispanoamericana : coloquio de Yale / compilación y prólogo de Roberto González Echevarría ; Alejo Carpentier ... [et al.].</t>
        </is>
      </c>
      <c r="H815" t="inlineStr">
        <is>
          <t>No</t>
        </is>
      </c>
      <c r="I815" t="inlineStr">
        <is>
          <t>1</t>
        </is>
      </c>
      <c r="J815" t="inlineStr">
        <is>
          <t>No</t>
        </is>
      </c>
      <c r="K815" t="inlineStr">
        <is>
          <t>No</t>
        </is>
      </c>
      <c r="L815" t="inlineStr">
        <is>
          <t>0</t>
        </is>
      </c>
      <c r="N815" t="inlineStr">
        <is>
          <t>Caracas, Venezuela : Monte Avila Editores, c1984.</t>
        </is>
      </c>
      <c r="O815" t="inlineStr">
        <is>
          <t>1984</t>
        </is>
      </c>
      <c r="Q815" t="inlineStr">
        <is>
          <t>spa</t>
        </is>
      </c>
      <c r="R815" t="inlineStr">
        <is>
          <t xml:space="preserve">ve </t>
        </is>
      </c>
      <c r="S815" t="inlineStr">
        <is>
          <t>Colección Estudios</t>
        </is>
      </c>
      <c r="T815" t="inlineStr">
        <is>
          <t xml:space="preserve">PQ </t>
        </is>
      </c>
      <c r="U815" t="n">
        <v>4</v>
      </c>
      <c r="V815" t="n">
        <v>4</v>
      </c>
      <c r="W815" t="inlineStr">
        <is>
          <t>1997-11-05</t>
        </is>
      </c>
      <c r="X815" t="inlineStr">
        <is>
          <t>1997-11-05</t>
        </is>
      </c>
      <c r="Y815" t="inlineStr">
        <is>
          <t>1995-08-17</t>
        </is>
      </c>
      <c r="Z815" t="inlineStr">
        <is>
          <t>1995-08-17</t>
        </is>
      </c>
      <c r="AA815" t="n">
        <v>213</v>
      </c>
      <c r="AB815" t="n">
        <v>160</v>
      </c>
      <c r="AC815" t="n">
        <v>173</v>
      </c>
      <c r="AD815" t="n">
        <v>1</v>
      </c>
      <c r="AE815" t="n">
        <v>1</v>
      </c>
      <c r="AF815" t="n">
        <v>10</v>
      </c>
      <c r="AG815" t="n">
        <v>10</v>
      </c>
      <c r="AH815" t="n">
        <v>3</v>
      </c>
      <c r="AI815" t="n">
        <v>3</v>
      </c>
      <c r="AJ815" t="n">
        <v>4</v>
      </c>
      <c r="AK815" t="n">
        <v>4</v>
      </c>
      <c r="AL815" t="n">
        <v>7</v>
      </c>
      <c r="AM815" t="n">
        <v>7</v>
      </c>
      <c r="AN815" t="n">
        <v>0</v>
      </c>
      <c r="AO815" t="n">
        <v>0</v>
      </c>
      <c r="AP815" t="n">
        <v>0</v>
      </c>
      <c r="AQ815" t="n">
        <v>0</v>
      </c>
      <c r="AR815" t="inlineStr">
        <is>
          <t>No</t>
        </is>
      </c>
      <c r="AS815" t="inlineStr">
        <is>
          <t>Yes</t>
        </is>
      </c>
      <c r="AT815">
        <f>HYPERLINK("http://catalog.hathitrust.org/Record/007104987","HathiTrust Record")</f>
        <v/>
      </c>
      <c r="AU815">
        <f>HYPERLINK("https://creighton-primo.hosted.exlibrisgroup.com/primo-explore/search?tab=default_tab&amp;search_scope=EVERYTHING&amp;vid=01CRU&amp;lang=en_US&amp;offset=0&amp;query=any,contains,991001370699702656","Catalog Record")</f>
        <v/>
      </c>
      <c r="AV815">
        <f>HYPERLINK("http://www.worldcat.org/oclc/18562032","WorldCat Record")</f>
        <v/>
      </c>
      <c r="AW815" t="inlineStr">
        <is>
          <t>865187551:spa</t>
        </is>
      </c>
      <c r="AX815" t="inlineStr">
        <is>
          <t>18562032</t>
        </is>
      </c>
      <c r="AY815" t="inlineStr">
        <is>
          <t>991001370699702656</t>
        </is>
      </c>
      <c r="AZ815" t="inlineStr">
        <is>
          <t>991001370699702656</t>
        </is>
      </c>
      <c r="BA815" t="inlineStr">
        <is>
          <t>2272605620002656</t>
        </is>
      </c>
      <c r="BB815" t="inlineStr">
        <is>
          <t>BOOK</t>
        </is>
      </c>
      <c r="BE815" t="inlineStr">
        <is>
          <t>32285002080488</t>
        </is>
      </c>
      <c r="BF815" t="inlineStr">
        <is>
          <t>893785060</t>
        </is>
      </c>
    </row>
    <row r="816">
      <c r="A816" t="inlineStr">
        <is>
          <t>No</t>
        </is>
      </c>
      <c r="B816" t="inlineStr">
        <is>
          <t>CURAL</t>
        </is>
      </c>
      <c r="C816" t="inlineStr">
        <is>
          <t>SHELVES</t>
        </is>
      </c>
      <c r="D816" t="inlineStr">
        <is>
          <t>PQ7082.N7 L39 1995</t>
        </is>
      </c>
      <c r="E816" t="inlineStr">
        <is>
          <t>0                      PQ 7082000N  7                  L  39          1995</t>
        </is>
      </c>
      <c r="F816" t="inlineStr">
        <is>
          <t>La inquietud de la memoria en el caos familiar / María Luisa Lázzaro.</t>
        </is>
      </c>
      <c r="H816" t="inlineStr">
        <is>
          <t>No</t>
        </is>
      </c>
      <c r="I816" t="inlineStr">
        <is>
          <t>1</t>
        </is>
      </c>
      <c r="J816" t="inlineStr">
        <is>
          <t>No</t>
        </is>
      </c>
      <c r="K816" t="inlineStr">
        <is>
          <t>No</t>
        </is>
      </c>
      <c r="L816" t="inlineStr">
        <is>
          <t>0</t>
        </is>
      </c>
      <c r="M816" t="inlineStr">
        <is>
          <t>Lázzaro, María Luisa, 1950-</t>
        </is>
      </c>
      <c r="N816" t="inlineStr">
        <is>
          <t>[Mérida, Venezuela?] : Consejo de Desarrollo Científico, Humanístico y Tecnológico de la Universidad de los Andes ; Fondo Editorial "La Escarcha Azul", 1995.</t>
        </is>
      </c>
      <c r="O816" t="inlineStr">
        <is>
          <t>1995</t>
        </is>
      </c>
      <c r="Q816" t="inlineStr">
        <is>
          <t>spa</t>
        </is>
      </c>
      <c r="R816" t="inlineStr">
        <is>
          <t xml:space="preserve">ve </t>
        </is>
      </c>
      <c r="S816" t="inlineStr">
        <is>
          <t>Colección "Latido a profundidad"</t>
        </is>
      </c>
      <c r="T816" t="inlineStr">
        <is>
          <t xml:space="preserve">PQ </t>
        </is>
      </c>
      <c r="U816" t="n">
        <v>2</v>
      </c>
      <c r="V816" t="n">
        <v>2</v>
      </c>
      <c r="W816" t="inlineStr">
        <is>
          <t>2002-11-04</t>
        </is>
      </c>
      <c r="X816" t="inlineStr">
        <is>
          <t>2002-11-04</t>
        </is>
      </c>
      <c r="Y816" t="inlineStr">
        <is>
          <t>2002-11-04</t>
        </is>
      </c>
      <c r="Z816" t="inlineStr">
        <is>
          <t>2002-11-04</t>
        </is>
      </c>
      <c r="AA816" t="n">
        <v>1</v>
      </c>
      <c r="AB816" t="n">
        <v>1</v>
      </c>
      <c r="AC816" t="n">
        <v>1</v>
      </c>
      <c r="AD816" t="n">
        <v>1</v>
      </c>
      <c r="AE816" t="n">
        <v>1</v>
      </c>
      <c r="AF816" t="n">
        <v>0</v>
      </c>
      <c r="AG816" t="n">
        <v>0</v>
      </c>
      <c r="AH816" t="n">
        <v>0</v>
      </c>
      <c r="AI816" t="n">
        <v>0</v>
      </c>
      <c r="AJ816" t="n">
        <v>0</v>
      </c>
      <c r="AK816" t="n">
        <v>0</v>
      </c>
      <c r="AL816" t="n">
        <v>0</v>
      </c>
      <c r="AM816" t="n">
        <v>0</v>
      </c>
      <c r="AN816" t="n">
        <v>0</v>
      </c>
      <c r="AO816" t="n">
        <v>0</v>
      </c>
      <c r="AP816" t="n">
        <v>0</v>
      </c>
      <c r="AQ816" t="n">
        <v>0</v>
      </c>
      <c r="AR816" t="inlineStr">
        <is>
          <t>No</t>
        </is>
      </c>
      <c r="AS816" t="inlineStr">
        <is>
          <t>No</t>
        </is>
      </c>
      <c r="AU816">
        <f>HYPERLINK("https://creighton-primo.hosted.exlibrisgroup.com/primo-explore/search?tab=default_tab&amp;search_scope=EVERYTHING&amp;vid=01CRU&amp;lang=en_US&amp;offset=0&amp;query=any,contains,991003932409702656","Catalog Record")</f>
        <v/>
      </c>
      <c r="AV816">
        <f>HYPERLINK("http://www.worldcat.org/oclc/50623822","WorldCat Record")</f>
        <v/>
      </c>
      <c r="AW816" t="inlineStr">
        <is>
          <t>437474629:spa</t>
        </is>
      </c>
      <c r="AX816" t="inlineStr">
        <is>
          <t>50623822</t>
        </is>
      </c>
      <c r="AY816" t="inlineStr">
        <is>
          <t>991003932409702656</t>
        </is>
      </c>
      <c r="AZ816" t="inlineStr">
        <is>
          <t>991003932409702656</t>
        </is>
      </c>
      <c r="BA816" t="inlineStr">
        <is>
          <t>2272742800002656</t>
        </is>
      </c>
      <c r="BB816" t="inlineStr">
        <is>
          <t>BOOK</t>
        </is>
      </c>
      <c r="BD816" t="inlineStr">
        <is>
          <t>9789802924653</t>
        </is>
      </c>
      <c r="BE816" t="inlineStr">
        <is>
          <t>32285004630603</t>
        </is>
      </c>
      <c r="BF816" t="inlineStr">
        <is>
          <t>893627894</t>
        </is>
      </c>
    </row>
    <row r="817">
      <c r="A817" t="inlineStr">
        <is>
          <t>No</t>
        </is>
      </c>
      <c r="B817" t="inlineStr">
        <is>
          <t>CURAL</t>
        </is>
      </c>
      <c r="C817" t="inlineStr">
        <is>
          <t>SHELVES</t>
        </is>
      </c>
      <c r="D817" t="inlineStr">
        <is>
          <t>PQ7082.N7 M28 1983</t>
        </is>
      </c>
      <c r="E817" t="inlineStr">
        <is>
          <t>0                      PQ 7082000N  7                  M  28          1983</t>
        </is>
      </c>
      <c r="F817" t="inlineStr">
        <is>
          <t>Lo bello/lo feo / Antonieta Madrid.</t>
        </is>
      </c>
      <c r="H817" t="inlineStr">
        <is>
          <t>No</t>
        </is>
      </c>
      <c r="I817" t="inlineStr">
        <is>
          <t>1</t>
        </is>
      </c>
      <c r="J817" t="inlineStr">
        <is>
          <t>No</t>
        </is>
      </c>
      <c r="K817" t="inlineStr">
        <is>
          <t>No</t>
        </is>
      </c>
      <c r="L817" t="inlineStr">
        <is>
          <t>0</t>
        </is>
      </c>
      <c r="M817" t="inlineStr">
        <is>
          <t>Madrid, Antonieta.</t>
        </is>
      </c>
      <c r="N817" t="inlineStr">
        <is>
          <t>Caracas : Academia Nacional de la Historia, 1983.</t>
        </is>
      </c>
      <c r="O817" t="inlineStr">
        <is>
          <t>1983</t>
        </is>
      </c>
      <c r="Q817" t="inlineStr">
        <is>
          <t>spa</t>
        </is>
      </c>
      <c r="R817" t="inlineStr">
        <is>
          <t xml:space="preserve">ve </t>
        </is>
      </c>
      <c r="S817" t="inlineStr">
        <is>
          <t>El Libro menor ; 43</t>
        </is>
      </c>
      <c r="T817" t="inlineStr">
        <is>
          <t xml:space="preserve">PQ </t>
        </is>
      </c>
      <c r="U817" t="n">
        <v>1</v>
      </c>
      <c r="V817" t="n">
        <v>1</v>
      </c>
      <c r="W817" t="inlineStr">
        <is>
          <t>2001-10-25</t>
        </is>
      </c>
      <c r="X817" t="inlineStr">
        <is>
          <t>2001-10-25</t>
        </is>
      </c>
      <c r="Y817" t="inlineStr">
        <is>
          <t>2001-10-24</t>
        </is>
      </c>
      <c r="Z817" t="inlineStr">
        <is>
          <t>2001-10-24</t>
        </is>
      </c>
      <c r="AA817" t="n">
        <v>30</v>
      </c>
      <c r="AB817" t="n">
        <v>26</v>
      </c>
      <c r="AC817" t="n">
        <v>28</v>
      </c>
      <c r="AD817" t="n">
        <v>1</v>
      </c>
      <c r="AE817" t="n">
        <v>1</v>
      </c>
      <c r="AF817" t="n">
        <v>1</v>
      </c>
      <c r="AG817" t="n">
        <v>1</v>
      </c>
      <c r="AH817" t="n">
        <v>0</v>
      </c>
      <c r="AI817" t="n">
        <v>0</v>
      </c>
      <c r="AJ817" t="n">
        <v>1</v>
      </c>
      <c r="AK817" t="n">
        <v>1</v>
      </c>
      <c r="AL817" t="n">
        <v>0</v>
      </c>
      <c r="AM817" t="n">
        <v>0</v>
      </c>
      <c r="AN817" t="n">
        <v>0</v>
      </c>
      <c r="AO817" t="n">
        <v>0</v>
      </c>
      <c r="AP817" t="n">
        <v>0</v>
      </c>
      <c r="AQ817" t="n">
        <v>0</v>
      </c>
      <c r="AR817" t="inlineStr">
        <is>
          <t>No</t>
        </is>
      </c>
      <c r="AS817" t="inlineStr">
        <is>
          <t>Yes</t>
        </is>
      </c>
      <c r="AT817">
        <f>HYPERLINK("http://catalog.hathitrust.org/Record/101095991","HathiTrust Record")</f>
        <v/>
      </c>
      <c r="AU817">
        <f>HYPERLINK("https://creighton-primo.hosted.exlibrisgroup.com/primo-explore/search?tab=default_tab&amp;search_scope=EVERYTHING&amp;vid=01CRU&amp;lang=en_US&amp;offset=0&amp;query=any,contains,991003660119702656","Catalog Record")</f>
        <v/>
      </c>
      <c r="AV817">
        <f>HYPERLINK("http://www.worldcat.org/oclc/11574688","WorldCat Record")</f>
        <v/>
      </c>
      <c r="AW817" t="inlineStr">
        <is>
          <t>4482363:spa</t>
        </is>
      </c>
      <c r="AX817" t="inlineStr">
        <is>
          <t>11574688</t>
        </is>
      </c>
      <c r="AY817" t="inlineStr">
        <is>
          <t>991003660119702656</t>
        </is>
      </c>
      <c r="AZ817" t="inlineStr">
        <is>
          <t>991003660119702656</t>
        </is>
      </c>
      <c r="BA817" t="inlineStr">
        <is>
          <t>2265068540002656</t>
        </is>
      </c>
      <c r="BB817" t="inlineStr">
        <is>
          <t>BOOK</t>
        </is>
      </c>
      <c r="BE817" t="inlineStr">
        <is>
          <t>32285004415336</t>
        </is>
      </c>
      <c r="BF817" t="inlineStr">
        <is>
          <t>893787600</t>
        </is>
      </c>
    </row>
    <row r="818">
      <c r="A818" t="inlineStr">
        <is>
          <t>No</t>
        </is>
      </c>
      <c r="B818" t="inlineStr">
        <is>
          <t>CURAL</t>
        </is>
      </c>
      <c r="C818" t="inlineStr">
        <is>
          <t>SHELVES</t>
        </is>
      </c>
      <c r="D818" t="inlineStr">
        <is>
          <t>PQ7082.N7 M34 1989</t>
        </is>
      </c>
      <c r="E818" t="inlineStr">
        <is>
          <t>0                      PQ 7082000N  7                  M  34          1989</t>
        </is>
      </c>
      <c r="F818" t="inlineStr">
        <is>
          <t>Journeys through the labyrinth : Latin American fiction in the twentieth century / Gerald Martin.</t>
        </is>
      </c>
      <c r="H818" t="inlineStr">
        <is>
          <t>No</t>
        </is>
      </c>
      <c r="I818" t="inlineStr">
        <is>
          <t>1</t>
        </is>
      </c>
      <c r="J818" t="inlineStr">
        <is>
          <t>No</t>
        </is>
      </c>
      <c r="K818" t="inlineStr">
        <is>
          <t>No</t>
        </is>
      </c>
      <c r="L818" t="inlineStr">
        <is>
          <t>0</t>
        </is>
      </c>
      <c r="M818" t="inlineStr">
        <is>
          <t>Martin, Gerald, 1944-</t>
        </is>
      </c>
      <c r="N818" t="inlineStr">
        <is>
          <t>London ; New York : Verso, 1989.</t>
        </is>
      </c>
      <c r="O818" t="inlineStr">
        <is>
          <t>1989</t>
        </is>
      </c>
      <c r="Q818" t="inlineStr">
        <is>
          <t>eng</t>
        </is>
      </c>
      <c r="R818" t="inlineStr">
        <is>
          <t>enk</t>
        </is>
      </c>
      <c r="S818" t="inlineStr">
        <is>
          <t>Critical studies in Latin American culture</t>
        </is>
      </c>
      <c r="T818" t="inlineStr">
        <is>
          <t xml:space="preserve">PQ </t>
        </is>
      </c>
      <c r="U818" t="n">
        <v>7</v>
      </c>
      <c r="V818" t="n">
        <v>7</v>
      </c>
      <c r="W818" t="inlineStr">
        <is>
          <t>2000-09-14</t>
        </is>
      </c>
      <c r="X818" t="inlineStr">
        <is>
          <t>2000-09-14</t>
        </is>
      </c>
      <c r="Y818" t="inlineStr">
        <is>
          <t>1990-06-29</t>
        </is>
      </c>
      <c r="Z818" t="inlineStr">
        <is>
          <t>1990-06-29</t>
        </is>
      </c>
      <c r="AA818" t="n">
        <v>518</v>
      </c>
      <c r="AB818" t="n">
        <v>385</v>
      </c>
      <c r="AC818" t="n">
        <v>392</v>
      </c>
      <c r="AD818" t="n">
        <v>4</v>
      </c>
      <c r="AE818" t="n">
        <v>4</v>
      </c>
      <c r="AF818" t="n">
        <v>21</v>
      </c>
      <c r="AG818" t="n">
        <v>21</v>
      </c>
      <c r="AH818" t="n">
        <v>10</v>
      </c>
      <c r="AI818" t="n">
        <v>10</v>
      </c>
      <c r="AJ818" t="n">
        <v>4</v>
      </c>
      <c r="AK818" t="n">
        <v>4</v>
      </c>
      <c r="AL818" t="n">
        <v>10</v>
      </c>
      <c r="AM818" t="n">
        <v>10</v>
      </c>
      <c r="AN818" t="n">
        <v>3</v>
      </c>
      <c r="AO818" t="n">
        <v>3</v>
      </c>
      <c r="AP818" t="n">
        <v>0</v>
      </c>
      <c r="AQ818" t="n">
        <v>0</v>
      </c>
      <c r="AR818" t="inlineStr">
        <is>
          <t>No</t>
        </is>
      </c>
      <c r="AS818" t="inlineStr">
        <is>
          <t>Yes</t>
        </is>
      </c>
      <c r="AT818">
        <f>HYPERLINK("http://catalog.hathitrust.org/Record/001835177","HathiTrust Record")</f>
        <v/>
      </c>
      <c r="AU818">
        <f>HYPERLINK("https://creighton-primo.hosted.exlibrisgroup.com/primo-explore/search?tab=default_tab&amp;search_scope=EVERYTHING&amp;vid=01CRU&amp;lang=en_US&amp;offset=0&amp;query=any,contains,991001542209702656","Catalog Record")</f>
        <v/>
      </c>
      <c r="AV818">
        <f>HYPERLINK("http://www.worldcat.org/oclc/20132537","WorldCat Record")</f>
        <v/>
      </c>
      <c r="AW818" t="inlineStr">
        <is>
          <t>808482025:eng</t>
        </is>
      </c>
      <c r="AX818" t="inlineStr">
        <is>
          <t>20132537</t>
        </is>
      </c>
      <c r="AY818" t="inlineStr">
        <is>
          <t>991001542209702656</t>
        </is>
      </c>
      <c r="AZ818" t="inlineStr">
        <is>
          <t>991001542209702656</t>
        </is>
      </c>
      <c r="BA818" t="inlineStr">
        <is>
          <t>2262224320002656</t>
        </is>
      </c>
      <c r="BB818" t="inlineStr">
        <is>
          <t>BOOK</t>
        </is>
      </c>
      <c r="BD818" t="inlineStr">
        <is>
          <t>9780860919520</t>
        </is>
      </c>
      <c r="BE818" t="inlineStr">
        <is>
          <t>32285000206614</t>
        </is>
      </c>
      <c r="BF818" t="inlineStr">
        <is>
          <t>893328195</t>
        </is>
      </c>
    </row>
    <row r="819">
      <c r="A819" t="inlineStr">
        <is>
          <t>No</t>
        </is>
      </c>
      <c r="B819" t="inlineStr">
        <is>
          <t>CURAL</t>
        </is>
      </c>
      <c r="C819" t="inlineStr">
        <is>
          <t>SHELVES</t>
        </is>
      </c>
      <c r="D819" t="inlineStr">
        <is>
          <t>PQ7082.N7 M378 1990</t>
        </is>
      </c>
      <c r="E819" t="inlineStr">
        <is>
          <t>0                      PQ 7082000N  7                  M  378         1990</t>
        </is>
      </c>
      <c r="F819" t="inlineStr">
        <is>
          <t>Algunas técnicas narrativas de la novela latinoamericana contemporánea / Dante Medina.</t>
        </is>
      </c>
      <c r="H819" t="inlineStr">
        <is>
          <t>No</t>
        </is>
      </c>
      <c r="I819" t="inlineStr">
        <is>
          <t>1</t>
        </is>
      </c>
      <c r="J819" t="inlineStr">
        <is>
          <t>No</t>
        </is>
      </c>
      <c r="K819" t="inlineStr">
        <is>
          <t>No</t>
        </is>
      </c>
      <c r="L819" t="inlineStr">
        <is>
          <t>0</t>
        </is>
      </c>
      <c r="M819" t="inlineStr">
        <is>
          <t>Medina, Dante.</t>
        </is>
      </c>
      <c r="N819" t="inlineStr">
        <is>
          <t>[Guadalajara] : Editorial Universidad de Guadalajara, c1990.</t>
        </is>
      </c>
      <c r="O819" t="inlineStr">
        <is>
          <t>1990</t>
        </is>
      </c>
      <c r="Q819" t="inlineStr">
        <is>
          <t>spa</t>
        </is>
      </c>
      <c r="R819" t="inlineStr">
        <is>
          <t xml:space="preserve">mx </t>
        </is>
      </c>
      <c r="S819" t="inlineStr">
        <is>
          <t>Colección del Centro de Estudios Literarios</t>
        </is>
      </c>
      <c r="T819" t="inlineStr">
        <is>
          <t xml:space="preserve">PQ </t>
        </is>
      </c>
      <c r="U819" t="n">
        <v>1</v>
      </c>
      <c r="V819" t="n">
        <v>1</v>
      </c>
      <c r="W819" t="inlineStr">
        <is>
          <t>1994-02-07</t>
        </is>
      </c>
      <c r="X819" t="inlineStr">
        <is>
          <t>1994-02-07</t>
        </is>
      </c>
      <c r="Y819" t="inlineStr">
        <is>
          <t>1994-01-20</t>
        </is>
      </c>
      <c r="Z819" t="inlineStr">
        <is>
          <t>1994-01-20</t>
        </is>
      </c>
      <c r="AA819" t="n">
        <v>105</v>
      </c>
      <c r="AB819" t="n">
        <v>89</v>
      </c>
      <c r="AC819" t="n">
        <v>92</v>
      </c>
      <c r="AD819" t="n">
        <v>1</v>
      </c>
      <c r="AE819" t="n">
        <v>1</v>
      </c>
      <c r="AF819" t="n">
        <v>6</v>
      </c>
      <c r="AG819" t="n">
        <v>6</v>
      </c>
      <c r="AH819" t="n">
        <v>1</v>
      </c>
      <c r="AI819" t="n">
        <v>1</v>
      </c>
      <c r="AJ819" t="n">
        <v>1</v>
      </c>
      <c r="AK819" t="n">
        <v>1</v>
      </c>
      <c r="AL819" t="n">
        <v>5</v>
      </c>
      <c r="AM819" t="n">
        <v>5</v>
      </c>
      <c r="AN819" t="n">
        <v>0</v>
      </c>
      <c r="AO819" t="n">
        <v>0</v>
      </c>
      <c r="AP819" t="n">
        <v>0</v>
      </c>
      <c r="AQ819" t="n">
        <v>0</v>
      </c>
      <c r="AR819" t="inlineStr">
        <is>
          <t>No</t>
        </is>
      </c>
      <c r="AS819" t="inlineStr">
        <is>
          <t>Yes</t>
        </is>
      </c>
      <c r="AT819">
        <f>HYPERLINK("http://catalog.hathitrust.org/Record/002566659","HathiTrust Record")</f>
        <v/>
      </c>
      <c r="AU819">
        <f>HYPERLINK("https://creighton-primo.hosted.exlibrisgroup.com/primo-explore/search?tab=default_tab&amp;search_scope=EVERYTHING&amp;vid=01CRU&amp;lang=en_US&amp;offset=0&amp;query=any,contains,991001987329702656","Catalog Record")</f>
        <v/>
      </c>
      <c r="AV819">
        <f>HYPERLINK("http://www.worldcat.org/oclc/25246286","WorldCat Record")</f>
        <v/>
      </c>
      <c r="AW819" t="inlineStr">
        <is>
          <t>28400637:spa</t>
        </is>
      </c>
      <c r="AX819" t="inlineStr">
        <is>
          <t>25246286</t>
        </is>
      </c>
      <c r="AY819" t="inlineStr">
        <is>
          <t>991001987329702656</t>
        </is>
      </c>
      <c r="AZ819" t="inlineStr">
        <is>
          <t>991001987329702656</t>
        </is>
      </c>
      <c r="BA819" t="inlineStr">
        <is>
          <t>2256367580002656</t>
        </is>
      </c>
      <c r="BB819" t="inlineStr">
        <is>
          <t>BOOK</t>
        </is>
      </c>
      <c r="BD819" t="inlineStr">
        <is>
          <t>9789688951934</t>
        </is>
      </c>
      <c r="BE819" t="inlineStr">
        <is>
          <t>32285001832814</t>
        </is>
      </c>
      <c r="BF819" t="inlineStr">
        <is>
          <t>893516758</t>
        </is>
      </c>
    </row>
    <row r="820">
      <c r="A820" t="inlineStr">
        <is>
          <t>No</t>
        </is>
      </c>
      <c r="B820" t="inlineStr">
        <is>
          <t>CURAL</t>
        </is>
      </c>
      <c r="C820" t="inlineStr">
        <is>
          <t>SHELVES</t>
        </is>
      </c>
      <c r="D820" t="inlineStr">
        <is>
          <t>PQ7082.N7 M6 1976</t>
        </is>
      </c>
      <c r="E820" t="inlineStr">
        <is>
          <t>0                      PQ 7082000N  7                  M  6           1976</t>
        </is>
      </c>
      <c r="F820" t="inlineStr">
        <is>
          <t>De la barbarie a la imaginación / Rafael Humberto Moreno-Durán.</t>
        </is>
      </c>
      <c r="H820" t="inlineStr">
        <is>
          <t>No</t>
        </is>
      </c>
      <c r="I820" t="inlineStr">
        <is>
          <t>1</t>
        </is>
      </c>
      <c r="J820" t="inlineStr">
        <is>
          <t>No</t>
        </is>
      </c>
      <c r="K820" t="inlineStr">
        <is>
          <t>No</t>
        </is>
      </c>
      <c r="L820" t="inlineStr">
        <is>
          <t>0</t>
        </is>
      </c>
      <c r="M820" t="inlineStr">
        <is>
          <t>Moreno-Durán, R. H., 1946-</t>
        </is>
      </c>
      <c r="N820" t="inlineStr">
        <is>
          <t>Barcelona : Tusquets, c1976.</t>
        </is>
      </c>
      <c r="O820" t="inlineStr">
        <is>
          <t>1976</t>
        </is>
      </c>
      <c r="Q820" t="inlineStr">
        <is>
          <t>spa</t>
        </is>
      </c>
      <c r="R820" t="inlineStr">
        <is>
          <t xml:space="preserve">sp </t>
        </is>
      </c>
      <c r="S820" t="inlineStr">
        <is>
          <t>Cuadernos ínfimos ; 67</t>
        </is>
      </c>
      <c r="T820" t="inlineStr">
        <is>
          <t xml:space="preserve">PQ </t>
        </is>
      </c>
      <c r="U820" t="n">
        <v>1</v>
      </c>
      <c r="V820" t="n">
        <v>1</v>
      </c>
      <c r="W820" t="inlineStr">
        <is>
          <t>2002-04-03</t>
        </is>
      </c>
      <c r="X820" t="inlineStr">
        <is>
          <t>2002-04-03</t>
        </is>
      </c>
      <c r="Y820" t="inlineStr">
        <is>
          <t>2002-03-05</t>
        </is>
      </c>
      <c r="Z820" t="inlineStr">
        <is>
          <t>2002-03-05</t>
        </is>
      </c>
      <c r="AA820" t="n">
        <v>77</v>
      </c>
      <c r="AB820" t="n">
        <v>53</v>
      </c>
      <c r="AC820" t="n">
        <v>55</v>
      </c>
      <c r="AD820" t="n">
        <v>1</v>
      </c>
      <c r="AE820" t="n">
        <v>1</v>
      </c>
      <c r="AF820" t="n">
        <v>3</v>
      </c>
      <c r="AG820" t="n">
        <v>3</v>
      </c>
      <c r="AH820" t="n">
        <v>1</v>
      </c>
      <c r="AI820" t="n">
        <v>1</v>
      </c>
      <c r="AJ820" t="n">
        <v>0</v>
      </c>
      <c r="AK820" t="n">
        <v>0</v>
      </c>
      <c r="AL820" t="n">
        <v>3</v>
      </c>
      <c r="AM820" t="n">
        <v>3</v>
      </c>
      <c r="AN820" t="n">
        <v>0</v>
      </c>
      <c r="AO820" t="n">
        <v>0</v>
      </c>
      <c r="AP820" t="n">
        <v>0</v>
      </c>
      <c r="AQ820" t="n">
        <v>0</v>
      </c>
      <c r="AR820" t="inlineStr">
        <is>
          <t>No</t>
        </is>
      </c>
      <c r="AS820" t="inlineStr">
        <is>
          <t>Yes</t>
        </is>
      </c>
      <c r="AT820">
        <f>HYPERLINK("http://catalog.hathitrust.org/Record/008447960","HathiTrust Record")</f>
        <v/>
      </c>
      <c r="AU820">
        <f>HYPERLINK("https://creighton-primo.hosted.exlibrisgroup.com/primo-explore/search?tab=default_tab&amp;search_scope=EVERYTHING&amp;vid=01CRU&amp;lang=en_US&amp;offset=0&amp;query=any,contains,991003757529702656","Catalog Record")</f>
        <v/>
      </c>
      <c r="AV820">
        <f>HYPERLINK("http://www.worldcat.org/oclc/2203298","WorldCat Record")</f>
        <v/>
      </c>
      <c r="AW820" t="inlineStr">
        <is>
          <t>9380917770:spa</t>
        </is>
      </c>
      <c r="AX820" t="inlineStr">
        <is>
          <t>2203298</t>
        </is>
      </c>
      <c r="AY820" t="inlineStr">
        <is>
          <t>991003757529702656</t>
        </is>
      </c>
      <c r="AZ820" t="inlineStr">
        <is>
          <t>991003757529702656</t>
        </is>
      </c>
      <c r="BA820" t="inlineStr">
        <is>
          <t>2259174660002656</t>
        </is>
      </c>
      <c r="BB820" t="inlineStr">
        <is>
          <t>BOOK</t>
        </is>
      </c>
      <c r="BD820" t="inlineStr">
        <is>
          <t>9788472235670</t>
        </is>
      </c>
      <c r="BE820" t="inlineStr">
        <is>
          <t>32285004459557</t>
        </is>
      </c>
      <c r="BF820" t="inlineStr">
        <is>
          <t>893781359</t>
        </is>
      </c>
    </row>
    <row r="821">
      <c r="A821" t="inlineStr">
        <is>
          <t>No</t>
        </is>
      </c>
      <c r="B821" t="inlineStr">
        <is>
          <t>CURAL</t>
        </is>
      </c>
      <c r="C821" t="inlineStr">
        <is>
          <t>SHELVES</t>
        </is>
      </c>
      <c r="D821" t="inlineStr">
        <is>
          <t>PQ7082.N7 O68 1984</t>
        </is>
      </c>
      <c r="E821" t="inlineStr">
        <is>
          <t>0                      PQ 7082000N  7                  O  68          1984</t>
        </is>
      </c>
      <c r="F821" t="inlineStr">
        <is>
          <t>La estética neobarroca en la narrativa hispanoamericana / José Ortega.</t>
        </is>
      </c>
      <c r="H821" t="inlineStr">
        <is>
          <t>No</t>
        </is>
      </c>
      <c r="I821" t="inlineStr">
        <is>
          <t>1</t>
        </is>
      </c>
      <c r="J821" t="inlineStr">
        <is>
          <t>No</t>
        </is>
      </c>
      <c r="K821" t="inlineStr">
        <is>
          <t>No</t>
        </is>
      </c>
      <c r="L821" t="inlineStr">
        <is>
          <t>0</t>
        </is>
      </c>
      <c r="M821" t="inlineStr">
        <is>
          <t>Ortega, José, 1933-</t>
        </is>
      </c>
      <c r="N821" t="inlineStr">
        <is>
          <t>Madrid : J. Porrúa Turanzas, [1984]</t>
        </is>
      </c>
      <c r="O821" t="inlineStr">
        <is>
          <t>1984</t>
        </is>
      </c>
      <c r="Q821" t="inlineStr">
        <is>
          <t>spa</t>
        </is>
      </c>
      <c r="R821" t="inlineStr">
        <is>
          <t xml:space="preserve">sp </t>
        </is>
      </c>
      <c r="S821" t="inlineStr">
        <is>
          <t>Ensayos</t>
        </is>
      </c>
      <c r="T821" t="inlineStr">
        <is>
          <t xml:space="preserve">PQ </t>
        </is>
      </c>
      <c r="U821" t="n">
        <v>5</v>
      </c>
      <c r="V821" t="n">
        <v>5</v>
      </c>
      <c r="W821" t="inlineStr">
        <is>
          <t>1997-11-05</t>
        </is>
      </c>
      <c r="X821" t="inlineStr">
        <is>
          <t>1997-11-05</t>
        </is>
      </c>
      <c r="Y821" t="inlineStr">
        <is>
          <t>1995-08-17</t>
        </is>
      </c>
      <c r="Z821" t="inlineStr">
        <is>
          <t>1995-08-17</t>
        </is>
      </c>
      <c r="AA821" t="n">
        <v>180</v>
      </c>
      <c r="AB821" t="n">
        <v>132</v>
      </c>
      <c r="AC821" t="n">
        <v>139</v>
      </c>
      <c r="AD821" t="n">
        <v>1</v>
      </c>
      <c r="AE821" t="n">
        <v>1</v>
      </c>
      <c r="AF821" t="n">
        <v>7</v>
      </c>
      <c r="AG821" t="n">
        <v>7</v>
      </c>
      <c r="AH821" t="n">
        <v>0</v>
      </c>
      <c r="AI821" t="n">
        <v>0</v>
      </c>
      <c r="AJ821" t="n">
        <v>3</v>
      </c>
      <c r="AK821" t="n">
        <v>3</v>
      </c>
      <c r="AL821" t="n">
        <v>5</v>
      </c>
      <c r="AM821" t="n">
        <v>5</v>
      </c>
      <c r="AN821" t="n">
        <v>0</v>
      </c>
      <c r="AO821" t="n">
        <v>0</v>
      </c>
      <c r="AP821" t="n">
        <v>0</v>
      </c>
      <c r="AQ821" t="n">
        <v>0</v>
      </c>
      <c r="AR821" t="inlineStr">
        <is>
          <t>No</t>
        </is>
      </c>
      <c r="AS821" t="inlineStr">
        <is>
          <t>Yes</t>
        </is>
      </c>
      <c r="AT821">
        <f>HYPERLINK("http://catalog.hathitrust.org/Record/000568074","HathiTrust Record")</f>
        <v/>
      </c>
      <c r="AU821">
        <f>HYPERLINK("https://creighton-primo.hosted.exlibrisgroup.com/primo-explore/search?tab=default_tab&amp;search_scope=EVERYTHING&amp;vid=01CRU&amp;lang=en_US&amp;offset=0&amp;query=any,contains,991001691369702656","Catalog Record")</f>
        <v/>
      </c>
      <c r="AV821">
        <f>HYPERLINK("http://www.worldcat.org/oclc/21442802","WorldCat Record")</f>
        <v/>
      </c>
      <c r="AW821" t="inlineStr">
        <is>
          <t>429765239:spa</t>
        </is>
      </c>
      <c r="AX821" t="inlineStr">
        <is>
          <t>21442802</t>
        </is>
      </c>
      <c r="AY821" t="inlineStr">
        <is>
          <t>991001691369702656</t>
        </is>
      </c>
      <c r="AZ821" t="inlineStr">
        <is>
          <t>991001691369702656</t>
        </is>
      </c>
      <c r="BA821" t="inlineStr">
        <is>
          <t>2254813130002656</t>
        </is>
      </c>
      <c r="BB821" t="inlineStr">
        <is>
          <t>BOOK</t>
        </is>
      </c>
      <c r="BD821" t="inlineStr">
        <is>
          <t>9788473171441</t>
        </is>
      </c>
      <c r="BE821" t="inlineStr">
        <is>
          <t>32285002080439</t>
        </is>
      </c>
      <c r="BF821" t="inlineStr">
        <is>
          <t>893621558</t>
        </is>
      </c>
    </row>
    <row r="822">
      <c r="A822" t="inlineStr">
        <is>
          <t>No</t>
        </is>
      </c>
      <c r="B822" t="inlineStr">
        <is>
          <t>CURAL</t>
        </is>
      </c>
      <c r="C822" t="inlineStr">
        <is>
          <t>SHELVES</t>
        </is>
      </c>
      <c r="D822" t="inlineStr">
        <is>
          <t>PQ7082.N7 O7 1968</t>
        </is>
      </c>
      <c r="E822" t="inlineStr">
        <is>
          <t>0                      PQ 7082000N  7                  O  7           1968</t>
        </is>
      </c>
      <c r="F822" t="inlineStr">
        <is>
          <t>La contemplación y la fiesta : ensayos sobre la nueva novela latinoamericana / Julio Ortega.</t>
        </is>
      </c>
      <c r="H822" t="inlineStr">
        <is>
          <t>No</t>
        </is>
      </c>
      <c r="I822" t="inlineStr">
        <is>
          <t>1</t>
        </is>
      </c>
      <c r="J822" t="inlineStr">
        <is>
          <t>No</t>
        </is>
      </c>
      <c r="K822" t="inlineStr">
        <is>
          <t>No</t>
        </is>
      </c>
      <c r="L822" t="inlineStr">
        <is>
          <t>0</t>
        </is>
      </c>
      <c r="M822" t="inlineStr">
        <is>
          <t>Ortega, Julio, 1942-</t>
        </is>
      </c>
      <c r="N822" t="inlineStr">
        <is>
          <t>Lima : Editorial Universitaria, [1968]</t>
        </is>
      </c>
      <c r="O822" t="inlineStr">
        <is>
          <t>1968</t>
        </is>
      </c>
      <c r="Q822" t="inlineStr">
        <is>
          <t>spa</t>
        </is>
      </c>
      <c r="R822" t="inlineStr">
        <is>
          <t xml:space="preserve">pe </t>
        </is>
      </c>
      <c r="T822" t="inlineStr">
        <is>
          <t xml:space="preserve">PQ </t>
        </is>
      </c>
      <c r="U822" t="n">
        <v>1</v>
      </c>
      <c r="V822" t="n">
        <v>1</v>
      </c>
      <c r="W822" t="inlineStr">
        <is>
          <t>2002-07-02</t>
        </is>
      </c>
      <c r="X822" t="inlineStr">
        <is>
          <t>2002-07-02</t>
        </is>
      </c>
      <c r="Y822" t="inlineStr">
        <is>
          <t>2002-07-01</t>
        </is>
      </c>
      <c r="Z822" t="inlineStr">
        <is>
          <t>2002-07-01</t>
        </is>
      </c>
      <c r="AA822" t="n">
        <v>154</v>
      </c>
      <c r="AB822" t="n">
        <v>125</v>
      </c>
      <c r="AC822" t="n">
        <v>130</v>
      </c>
      <c r="AD822" t="n">
        <v>2</v>
      </c>
      <c r="AE822" t="n">
        <v>2</v>
      </c>
      <c r="AF822" t="n">
        <v>5</v>
      </c>
      <c r="AG822" t="n">
        <v>5</v>
      </c>
      <c r="AH822" t="n">
        <v>1</v>
      </c>
      <c r="AI822" t="n">
        <v>1</v>
      </c>
      <c r="AJ822" t="n">
        <v>1</v>
      </c>
      <c r="AK822" t="n">
        <v>1</v>
      </c>
      <c r="AL822" t="n">
        <v>2</v>
      </c>
      <c r="AM822" t="n">
        <v>2</v>
      </c>
      <c r="AN822" t="n">
        <v>1</v>
      </c>
      <c r="AO822" t="n">
        <v>1</v>
      </c>
      <c r="AP822" t="n">
        <v>0</v>
      </c>
      <c r="AQ822" t="n">
        <v>0</v>
      </c>
      <c r="AR822" t="inlineStr">
        <is>
          <t>No</t>
        </is>
      </c>
      <c r="AS822" t="inlineStr">
        <is>
          <t>Yes</t>
        </is>
      </c>
      <c r="AT822">
        <f>HYPERLINK("http://catalog.hathitrust.org/Record/001036962","HathiTrust Record")</f>
        <v/>
      </c>
      <c r="AU822">
        <f>HYPERLINK("https://creighton-primo.hosted.exlibrisgroup.com/primo-explore/search?tab=default_tab&amp;search_scope=EVERYTHING&amp;vid=01CRU&amp;lang=en_US&amp;offset=0&amp;query=any,contains,991003834859702656","Catalog Record")</f>
        <v/>
      </c>
      <c r="AV822">
        <f>HYPERLINK("http://www.worldcat.org/oclc/834321","WorldCat Record")</f>
        <v/>
      </c>
      <c r="AW822" t="inlineStr">
        <is>
          <t>2281216466:spa</t>
        </is>
      </c>
      <c r="AX822" t="inlineStr">
        <is>
          <t>834321</t>
        </is>
      </c>
      <c r="AY822" t="inlineStr">
        <is>
          <t>991003834859702656</t>
        </is>
      </c>
      <c r="AZ822" t="inlineStr">
        <is>
          <t>991003834859702656</t>
        </is>
      </c>
      <c r="BA822" t="inlineStr">
        <is>
          <t>2267243470002656</t>
        </is>
      </c>
      <c r="BB822" t="inlineStr">
        <is>
          <t>BOOK</t>
        </is>
      </c>
      <c r="BE822" t="inlineStr">
        <is>
          <t>32285004495809</t>
        </is>
      </c>
      <c r="BF822" t="inlineStr">
        <is>
          <t>893525280</t>
        </is>
      </c>
    </row>
    <row r="823">
      <c r="A823" t="inlineStr">
        <is>
          <t>No</t>
        </is>
      </c>
      <c r="B823" t="inlineStr">
        <is>
          <t>CURAL</t>
        </is>
      </c>
      <c r="C823" t="inlineStr">
        <is>
          <t>SHELVES</t>
        </is>
      </c>
      <c r="D823" t="inlineStr">
        <is>
          <t>PQ7082.N7 P3 1987</t>
        </is>
      </c>
      <c r="E823" t="inlineStr">
        <is>
          <t>0                      PQ 7082000N  7                  P  3           1987</t>
        </is>
      </c>
      <c r="F823" t="inlineStr">
        <is>
          <t>Narrativa de la dictadura y crítica literaria / Carlos Pacheco.</t>
        </is>
      </c>
      <c r="H823" t="inlineStr">
        <is>
          <t>No</t>
        </is>
      </c>
      <c r="I823" t="inlineStr">
        <is>
          <t>1</t>
        </is>
      </c>
      <c r="J823" t="inlineStr">
        <is>
          <t>No</t>
        </is>
      </c>
      <c r="K823" t="inlineStr">
        <is>
          <t>No</t>
        </is>
      </c>
      <c r="L823" t="inlineStr">
        <is>
          <t>0</t>
        </is>
      </c>
      <c r="M823" t="inlineStr">
        <is>
          <t>Pacheco, Carlos, 1948-2015.</t>
        </is>
      </c>
      <c r="N823" t="inlineStr">
        <is>
          <t>[Caracas, Venezuela] : Fundación Centro de Estudios Latinoamericanos Rómulo Gallegos, c1987.</t>
        </is>
      </c>
      <c r="O823" t="inlineStr">
        <is>
          <t>1987</t>
        </is>
      </c>
      <c r="Q823" t="inlineStr">
        <is>
          <t>spa</t>
        </is>
      </c>
      <c r="R823" t="inlineStr">
        <is>
          <t xml:space="preserve">ve </t>
        </is>
      </c>
      <c r="S823" t="inlineStr">
        <is>
          <t>Colección La Alborada</t>
        </is>
      </c>
      <c r="T823" t="inlineStr">
        <is>
          <t xml:space="preserve">PQ </t>
        </is>
      </c>
      <c r="U823" t="n">
        <v>1</v>
      </c>
      <c r="V823" t="n">
        <v>1</v>
      </c>
      <c r="W823" t="inlineStr">
        <is>
          <t>2004-08-02</t>
        </is>
      </c>
      <c r="X823" t="inlineStr">
        <is>
          <t>2004-08-02</t>
        </is>
      </c>
      <c r="Y823" t="inlineStr">
        <is>
          <t>2004-08-02</t>
        </is>
      </c>
      <c r="Z823" t="inlineStr">
        <is>
          <t>2004-08-02</t>
        </is>
      </c>
      <c r="AA823" t="n">
        <v>48</v>
      </c>
      <c r="AB823" t="n">
        <v>38</v>
      </c>
      <c r="AC823" t="n">
        <v>50</v>
      </c>
      <c r="AD823" t="n">
        <v>1</v>
      </c>
      <c r="AE823" t="n">
        <v>1</v>
      </c>
      <c r="AF823" t="n">
        <v>0</v>
      </c>
      <c r="AG823" t="n">
        <v>0</v>
      </c>
      <c r="AH823" t="n">
        <v>0</v>
      </c>
      <c r="AI823" t="n">
        <v>0</v>
      </c>
      <c r="AJ823" t="n">
        <v>0</v>
      </c>
      <c r="AK823" t="n">
        <v>0</v>
      </c>
      <c r="AL823" t="n">
        <v>0</v>
      </c>
      <c r="AM823" t="n">
        <v>0</v>
      </c>
      <c r="AN823" t="n">
        <v>0</v>
      </c>
      <c r="AO823" t="n">
        <v>0</v>
      </c>
      <c r="AP823" t="n">
        <v>0</v>
      </c>
      <c r="AQ823" t="n">
        <v>0</v>
      </c>
      <c r="AR823" t="inlineStr">
        <is>
          <t>No</t>
        </is>
      </c>
      <c r="AS823" t="inlineStr">
        <is>
          <t>No</t>
        </is>
      </c>
      <c r="AU823">
        <f>HYPERLINK("https://creighton-primo.hosted.exlibrisgroup.com/primo-explore/search?tab=default_tab&amp;search_scope=EVERYTHING&amp;vid=01CRU&amp;lang=en_US&amp;offset=0&amp;query=any,contains,991004332629702656","Catalog Record")</f>
        <v/>
      </c>
      <c r="AV823">
        <f>HYPERLINK("http://www.worldcat.org/oclc/20517239","WorldCat Record")</f>
        <v/>
      </c>
      <c r="AW823" t="inlineStr">
        <is>
          <t>21504860:spa</t>
        </is>
      </c>
      <c r="AX823" t="inlineStr">
        <is>
          <t>20517239</t>
        </is>
      </c>
      <c r="AY823" t="inlineStr">
        <is>
          <t>991004332629702656</t>
        </is>
      </c>
      <c r="AZ823" t="inlineStr">
        <is>
          <t>991004332629702656</t>
        </is>
      </c>
      <c r="BA823" t="inlineStr">
        <is>
          <t>2268266630002656</t>
        </is>
      </c>
      <c r="BB823" t="inlineStr">
        <is>
          <t>BOOK</t>
        </is>
      </c>
      <c r="BE823" t="inlineStr">
        <is>
          <t>32285004925243</t>
        </is>
      </c>
      <c r="BF823" t="inlineStr">
        <is>
          <t>893506721</t>
        </is>
      </c>
    </row>
    <row r="824">
      <c r="A824" t="inlineStr">
        <is>
          <t>No</t>
        </is>
      </c>
      <c r="B824" t="inlineStr">
        <is>
          <t>CURAL</t>
        </is>
      </c>
      <c r="C824" t="inlineStr">
        <is>
          <t>SHELVES</t>
        </is>
      </c>
      <c r="D824" t="inlineStr">
        <is>
          <t>PQ7082.N7 P4 1977</t>
        </is>
      </c>
      <c r="E824" t="inlineStr">
        <is>
          <t>0                      PQ 7082000N  7                  P  4           1977</t>
        </is>
      </c>
      <c r="F824" t="inlineStr">
        <is>
          <t>Historia craitica de la novela hispanoamericana / Galo Renae Paerez.</t>
        </is>
      </c>
      <c r="H824" t="inlineStr">
        <is>
          <t>No</t>
        </is>
      </c>
      <c r="I824" t="inlineStr">
        <is>
          <t>1</t>
        </is>
      </c>
      <c r="J824" t="inlineStr">
        <is>
          <t>No</t>
        </is>
      </c>
      <c r="K824" t="inlineStr">
        <is>
          <t>No</t>
        </is>
      </c>
      <c r="L824" t="inlineStr">
        <is>
          <t>0</t>
        </is>
      </c>
      <c r="M824" t="inlineStr">
        <is>
          <t>Paerez, Galo Renae.</t>
        </is>
      </c>
      <c r="N824" t="inlineStr">
        <is>
          <t>Bogotaa : Cairculo de Lectores, [1977?]</t>
        </is>
      </c>
      <c r="O824" t="inlineStr">
        <is>
          <t>1977</t>
        </is>
      </c>
      <c r="Q824" t="inlineStr">
        <is>
          <t>spa</t>
        </is>
      </c>
      <c r="R824" t="inlineStr">
        <is>
          <t xml:space="preserve">ck </t>
        </is>
      </c>
      <c r="T824" t="inlineStr">
        <is>
          <t xml:space="preserve">PQ </t>
        </is>
      </c>
      <c r="U824" t="n">
        <v>1</v>
      </c>
      <c r="V824" t="n">
        <v>1</v>
      </c>
      <c r="W824" t="inlineStr">
        <is>
          <t>2004-08-02</t>
        </is>
      </c>
      <c r="X824" t="inlineStr">
        <is>
          <t>2004-08-02</t>
        </is>
      </c>
      <c r="Y824" t="inlineStr">
        <is>
          <t>2004-08-02</t>
        </is>
      </c>
      <c r="Z824" t="inlineStr">
        <is>
          <t>2004-08-02</t>
        </is>
      </c>
      <c r="AA824" t="n">
        <v>7</v>
      </c>
      <c r="AB824" t="n">
        <v>7</v>
      </c>
      <c r="AC824" t="n">
        <v>7</v>
      </c>
      <c r="AD824" t="n">
        <v>1</v>
      </c>
      <c r="AE824" t="n">
        <v>1</v>
      </c>
      <c r="AF824" t="n">
        <v>0</v>
      </c>
      <c r="AG824" t="n">
        <v>0</v>
      </c>
      <c r="AH824" t="n">
        <v>0</v>
      </c>
      <c r="AI824" t="n">
        <v>0</v>
      </c>
      <c r="AJ824" t="n">
        <v>0</v>
      </c>
      <c r="AK824" t="n">
        <v>0</v>
      </c>
      <c r="AL824" t="n">
        <v>0</v>
      </c>
      <c r="AM824" t="n">
        <v>0</v>
      </c>
      <c r="AN824" t="n">
        <v>0</v>
      </c>
      <c r="AO824" t="n">
        <v>0</v>
      </c>
      <c r="AP824" t="n">
        <v>0</v>
      </c>
      <c r="AQ824" t="n">
        <v>0</v>
      </c>
      <c r="AR824" t="inlineStr">
        <is>
          <t>No</t>
        </is>
      </c>
      <c r="AS824" t="inlineStr">
        <is>
          <t>No</t>
        </is>
      </c>
      <c r="AU824">
        <f>HYPERLINK("https://creighton-primo.hosted.exlibrisgroup.com/primo-explore/search?tab=default_tab&amp;search_scope=EVERYTHING&amp;vid=01CRU&amp;lang=en_US&amp;offset=0&amp;query=any,contains,991004333309702656","Catalog Record")</f>
        <v/>
      </c>
      <c r="AV824">
        <f>HYPERLINK("http://www.worldcat.org/oclc/4590335","WorldCat Record")</f>
        <v/>
      </c>
      <c r="AW824" t="inlineStr">
        <is>
          <t>3856894415:spa</t>
        </is>
      </c>
      <c r="AX824" t="inlineStr">
        <is>
          <t>4590335</t>
        </is>
      </c>
      <c r="AY824" t="inlineStr">
        <is>
          <t>991004333309702656</t>
        </is>
      </c>
      <c r="AZ824" t="inlineStr">
        <is>
          <t>991004333309702656</t>
        </is>
      </c>
      <c r="BA824" t="inlineStr">
        <is>
          <t>2262621170002656</t>
        </is>
      </c>
      <c r="BB824" t="inlineStr">
        <is>
          <t>BOOK</t>
        </is>
      </c>
      <c r="BE824" t="inlineStr">
        <is>
          <t>32285004925268</t>
        </is>
      </c>
      <c r="BF824" t="inlineStr">
        <is>
          <t>893532276</t>
        </is>
      </c>
    </row>
    <row r="825">
      <c r="A825" t="inlineStr">
        <is>
          <t>No</t>
        </is>
      </c>
      <c r="B825" t="inlineStr">
        <is>
          <t>CURAL</t>
        </is>
      </c>
      <c r="C825" t="inlineStr">
        <is>
          <t>SHELVES</t>
        </is>
      </c>
      <c r="D825" t="inlineStr">
        <is>
          <t>PQ7082.N7 R3 1972</t>
        </is>
      </c>
      <c r="E825" t="inlineStr">
        <is>
          <t>0                      PQ 7082000N  7                  R  3           1972</t>
        </is>
      </c>
      <c r="F825" t="inlineStr">
        <is>
          <t>Diez problemas para el novelista latinoamericano / Angel Rama.</t>
        </is>
      </c>
      <c r="H825" t="inlineStr">
        <is>
          <t>No</t>
        </is>
      </c>
      <c r="I825" t="inlineStr">
        <is>
          <t>1</t>
        </is>
      </c>
      <c r="J825" t="inlineStr">
        <is>
          <t>No</t>
        </is>
      </c>
      <c r="K825" t="inlineStr">
        <is>
          <t>No</t>
        </is>
      </c>
      <c r="L825" t="inlineStr">
        <is>
          <t>0</t>
        </is>
      </c>
      <c r="M825" t="inlineStr">
        <is>
          <t>Rama, Angel.</t>
        </is>
      </c>
      <c r="N825" t="inlineStr">
        <is>
          <t>[Caracas : Síntesis Dosmil, 1972]</t>
        </is>
      </c>
      <c r="O825" t="inlineStr">
        <is>
          <t>1972</t>
        </is>
      </c>
      <c r="Q825" t="inlineStr">
        <is>
          <t>spa</t>
        </is>
      </c>
      <c r="R825" t="inlineStr">
        <is>
          <t xml:space="preserve">ve </t>
        </is>
      </c>
      <c r="S825" t="inlineStr">
        <is>
          <t>Colección Manos libres</t>
        </is>
      </c>
      <c r="T825" t="inlineStr">
        <is>
          <t xml:space="preserve">PQ </t>
        </is>
      </c>
      <c r="U825" t="n">
        <v>1</v>
      </c>
      <c r="V825" t="n">
        <v>1</v>
      </c>
      <c r="W825" t="inlineStr">
        <is>
          <t>2004-08-04</t>
        </is>
      </c>
      <c r="X825" t="inlineStr">
        <is>
          <t>2004-08-04</t>
        </is>
      </c>
      <c r="Y825" t="inlineStr">
        <is>
          <t>2004-08-04</t>
        </is>
      </c>
      <c r="Z825" t="inlineStr">
        <is>
          <t>2004-08-04</t>
        </is>
      </c>
      <c r="AA825" t="n">
        <v>96</v>
      </c>
      <c r="AB825" t="n">
        <v>77</v>
      </c>
      <c r="AC825" t="n">
        <v>84</v>
      </c>
      <c r="AD825" t="n">
        <v>1</v>
      </c>
      <c r="AE825" t="n">
        <v>1</v>
      </c>
      <c r="AF825" t="n">
        <v>3</v>
      </c>
      <c r="AG825" t="n">
        <v>3</v>
      </c>
      <c r="AH825" t="n">
        <v>0</v>
      </c>
      <c r="AI825" t="n">
        <v>0</v>
      </c>
      <c r="AJ825" t="n">
        <v>1</v>
      </c>
      <c r="AK825" t="n">
        <v>1</v>
      </c>
      <c r="AL825" t="n">
        <v>3</v>
      </c>
      <c r="AM825" t="n">
        <v>3</v>
      </c>
      <c r="AN825" t="n">
        <v>0</v>
      </c>
      <c r="AO825" t="n">
        <v>0</v>
      </c>
      <c r="AP825" t="n">
        <v>0</v>
      </c>
      <c r="AQ825" t="n">
        <v>0</v>
      </c>
      <c r="AR825" t="inlineStr">
        <is>
          <t>No</t>
        </is>
      </c>
      <c r="AS825" t="inlineStr">
        <is>
          <t>Yes</t>
        </is>
      </c>
      <c r="AT825">
        <f>HYPERLINK("http://catalog.hathitrust.org/Record/007376986","HathiTrust Record")</f>
        <v/>
      </c>
      <c r="AU825">
        <f>HYPERLINK("https://creighton-primo.hosted.exlibrisgroup.com/primo-explore/search?tab=default_tab&amp;search_scope=EVERYTHING&amp;vid=01CRU&amp;lang=en_US&amp;offset=0&amp;query=any,contains,991004337219702656","Catalog Record")</f>
        <v/>
      </c>
      <c r="AV825">
        <f>HYPERLINK("http://www.worldcat.org/oclc/792740","WorldCat Record")</f>
        <v/>
      </c>
      <c r="AW825" t="inlineStr">
        <is>
          <t>1747122:spa</t>
        </is>
      </c>
      <c r="AX825" t="inlineStr">
        <is>
          <t>792740</t>
        </is>
      </c>
      <c r="AY825" t="inlineStr">
        <is>
          <t>991004337219702656</t>
        </is>
      </c>
      <c r="AZ825" t="inlineStr">
        <is>
          <t>991004337219702656</t>
        </is>
      </c>
      <c r="BA825" t="inlineStr">
        <is>
          <t>2262434860002656</t>
        </is>
      </c>
      <c r="BB825" t="inlineStr">
        <is>
          <t>BOOK</t>
        </is>
      </c>
      <c r="BE825" t="inlineStr">
        <is>
          <t>32285004928056</t>
        </is>
      </c>
      <c r="BF825" t="inlineStr">
        <is>
          <t>893423681</t>
        </is>
      </c>
    </row>
    <row r="826">
      <c r="A826" t="inlineStr">
        <is>
          <t>No</t>
        </is>
      </c>
      <c r="B826" t="inlineStr">
        <is>
          <t>CURAL</t>
        </is>
      </c>
      <c r="C826" t="inlineStr">
        <is>
          <t>SHELVES</t>
        </is>
      </c>
      <c r="D826" t="inlineStr">
        <is>
          <t>PQ7082.N7 R33 1995</t>
        </is>
      </c>
      <c r="E826" t="inlineStr">
        <is>
          <t>0                      PQ 7082000N  7                  R  33          1995</t>
        </is>
      </c>
      <c r="F826" t="inlineStr">
        <is>
          <t>Realismo maravilloso o realismo mágico? : ontología de la realidad o fenomenología de la percepción / Elizabeth Raab R.</t>
        </is>
      </c>
      <c r="H826" t="inlineStr">
        <is>
          <t>No</t>
        </is>
      </c>
      <c r="I826" t="inlineStr">
        <is>
          <t>1</t>
        </is>
      </c>
      <c r="J826" t="inlineStr">
        <is>
          <t>No</t>
        </is>
      </c>
      <c r="K826" t="inlineStr">
        <is>
          <t>No</t>
        </is>
      </c>
      <c r="L826" t="inlineStr">
        <is>
          <t>0</t>
        </is>
      </c>
      <c r="M826" t="inlineStr">
        <is>
          <t>Raab R., Elizabeth.</t>
        </is>
      </c>
      <c r="N826" t="inlineStr">
        <is>
          <t>[Caracas] : Universidad Pedagógica Experimental Libertador, Instituto Pedagógico de Caracas, Subdirección de Extensión, Departamento de Castellano, Literatura y Latín, [1995?]</t>
        </is>
      </c>
      <c r="O826" t="inlineStr">
        <is>
          <t>1995</t>
        </is>
      </c>
      <c r="Q826" t="inlineStr">
        <is>
          <t>spa</t>
        </is>
      </c>
      <c r="R826" t="inlineStr">
        <is>
          <t xml:space="preserve">ve </t>
        </is>
      </c>
      <c r="T826" t="inlineStr">
        <is>
          <t xml:space="preserve">PQ </t>
        </is>
      </c>
      <c r="U826" t="n">
        <v>1</v>
      </c>
      <c r="V826" t="n">
        <v>1</v>
      </c>
      <c r="W826" t="inlineStr">
        <is>
          <t>2005-02-24</t>
        </is>
      </c>
      <c r="X826" t="inlineStr">
        <is>
          <t>2005-02-24</t>
        </is>
      </c>
      <c r="Y826" t="inlineStr">
        <is>
          <t>2002-11-04</t>
        </is>
      </c>
      <c r="Z826" t="inlineStr">
        <is>
          <t>2002-11-04</t>
        </is>
      </c>
      <c r="AA826" t="n">
        <v>1</v>
      </c>
      <c r="AB826" t="n">
        <v>1</v>
      </c>
      <c r="AC826" t="n">
        <v>1</v>
      </c>
      <c r="AD826" t="n">
        <v>1</v>
      </c>
      <c r="AE826" t="n">
        <v>1</v>
      </c>
      <c r="AF826" t="n">
        <v>0</v>
      </c>
      <c r="AG826" t="n">
        <v>0</v>
      </c>
      <c r="AH826" t="n">
        <v>0</v>
      </c>
      <c r="AI826" t="n">
        <v>0</v>
      </c>
      <c r="AJ826" t="n">
        <v>0</v>
      </c>
      <c r="AK826" t="n">
        <v>0</v>
      </c>
      <c r="AL826" t="n">
        <v>0</v>
      </c>
      <c r="AM826" t="n">
        <v>0</v>
      </c>
      <c r="AN826" t="n">
        <v>0</v>
      </c>
      <c r="AO826" t="n">
        <v>0</v>
      </c>
      <c r="AP826" t="n">
        <v>0</v>
      </c>
      <c r="AQ826" t="n">
        <v>0</v>
      </c>
      <c r="AR826" t="inlineStr">
        <is>
          <t>No</t>
        </is>
      </c>
      <c r="AS826" t="inlineStr">
        <is>
          <t>No</t>
        </is>
      </c>
      <c r="AU826">
        <f>HYPERLINK("https://creighton-primo.hosted.exlibrisgroup.com/primo-explore/search?tab=default_tab&amp;search_scope=EVERYTHING&amp;vid=01CRU&amp;lang=en_US&amp;offset=0&amp;query=any,contains,991003932209702656","Catalog Record")</f>
        <v/>
      </c>
      <c r="AV826">
        <f>HYPERLINK("http://www.worldcat.org/oclc/50623834","WorldCat Record")</f>
        <v/>
      </c>
      <c r="AW826" t="inlineStr">
        <is>
          <t>6357942:spa</t>
        </is>
      </c>
      <c r="AX826" t="inlineStr">
        <is>
          <t>50623834</t>
        </is>
      </c>
      <c r="AY826" t="inlineStr">
        <is>
          <t>991003932209702656</t>
        </is>
      </c>
      <c r="AZ826" t="inlineStr">
        <is>
          <t>991003932209702656</t>
        </is>
      </c>
      <c r="BA826" t="inlineStr">
        <is>
          <t>2272766190002656</t>
        </is>
      </c>
      <c r="BB826" t="inlineStr">
        <is>
          <t>BOOK</t>
        </is>
      </c>
      <c r="BD826" t="inlineStr">
        <is>
          <t>9789802810345</t>
        </is>
      </c>
      <c r="BE826" t="inlineStr">
        <is>
          <t>32285004630652</t>
        </is>
      </c>
      <c r="BF826" t="inlineStr">
        <is>
          <t>893718249</t>
        </is>
      </c>
    </row>
    <row r="827">
      <c r="A827" t="inlineStr">
        <is>
          <t>No</t>
        </is>
      </c>
      <c r="B827" t="inlineStr">
        <is>
          <t>CURAL</t>
        </is>
      </c>
      <c r="C827" t="inlineStr">
        <is>
          <t>SHELVES</t>
        </is>
      </c>
      <c r="D827" t="inlineStr">
        <is>
          <t>PQ7082.N7 R35 1978</t>
        </is>
      </c>
      <c r="E827" t="inlineStr">
        <is>
          <t>0                      PQ 7082000N  7                  R  35          1978</t>
        </is>
      </c>
      <c r="F827" t="inlineStr">
        <is>
          <t>Tiempo y narraciaon : enfoques de la temporalidad en Borges, Carpentier, Cortaazar y Garcaia Maarquez / Pedro Ramairez Molas.</t>
        </is>
      </c>
      <c r="H827" t="inlineStr">
        <is>
          <t>No</t>
        </is>
      </c>
      <c r="I827" t="inlineStr">
        <is>
          <t>1</t>
        </is>
      </c>
      <c r="J827" t="inlineStr">
        <is>
          <t>No</t>
        </is>
      </c>
      <c r="K827" t="inlineStr">
        <is>
          <t>No</t>
        </is>
      </c>
      <c r="L827" t="inlineStr">
        <is>
          <t>0</t>
        </is>
      </c>
      <c r="M827" t="inlineStr">
        <is>
          <t>Ramairez Molas, Pedro.</t>
        </is>
      </c>
      <c r="N827" t="inlineStr">
        <is>
          <t>Madrid : Gredos, c1978.</t>
        </is>
      </c>
      <c r="O827" t="inlineStr">
        <is>
          <t>1978</t>
        </is>
      </c>
      <c r="Q827" t="inlineStr">
        <is>
          <t>spa</t>
        </is>
      </c>
      <c r="R827" t="inlineStr">
        <is>
          <t xml:space="preserve">sp </t>
        </is>
      </c>
      <c r="S827" t="inlineStr">
        <is>
          <t>Biblioteca romaanica hispaanica : 2, Estudios y ensayos ; 276</t>
        </is>
      </c>
      <c r="T827" t="inlineStr">
        <is>
          <t xml:space="preserve">PQ </t>
        </is>
      </c>
      <c r="U827" t="n">
        <v>1</v>
      </c>
      <c r="V827" t="n">
        <v>1</v>
      </c>
      <c r="W827" t="inlineStr">
        <is>
          <t>2004-08-03</t>
        </is>
      </c>
      <c r="X827" t="inlineStr">
        <is>
          <t>2004-08-03</t>
        </is>
      </c>
      <c r="Y827" t="inlineStr">
        <is>
          <t>2004-08-03</t>
        </is>
      </c>
      <c r="Z827" t="inlineStr">
        <is>
          <t>2004-08-03</t>
        </is>
      </c>
      <c r="AA827" t="n">
        <v>344</v>
      </c>
      <c r="AB827" t="n">
        <v>273</v>
      </c>
      <c r="AC827" t="n">
        <v>277</v>
      </c>
      <c r="AD827" t="n">
        <v>3</v>
      </c>
      <c r="AE827" t="n">
        <v>3</v>
      </c>
      <c r="AF827" t="n">
        <v>15</v>
      </c>
      <c r="AG827" t="n">
        <v>15</v>
      </c>
      <c r="AH827" t="n">
        <v>4</v>
      </c>
      <c r="AI827" t="n">
        <v>4</v>
      </c>
      <c r="AJ827" t="n">
        <v>4</v>
      </c>
      <c r="AK827" t="n">
        <v>4</v>
      </c>
      <c r="AL827" t="n">
        <v>9</v>
      </c>
      <c r="AM827" t="n">
        <v>9</v>
      </c>
      <c r="AN827" t="n">
        <v>2</v>
      </c>
      <c r="AO827" t="n">
        <v>2</v>
      </c>
      <c r="AP827" t="n">
        <v>0</v>
      </c>
      <c r="AQ827" t="n">
        <v>0</v>
      </c>
      <c r="AR827" t="inlineStr">
        <is>
          <t>No</t>
        </is>
      </c>
      <c r="AS827" t="inlineStr">
        <is>
          <t>Yes</t>
        </is>
      </c>
      <c r="AT827">
        <f>HYPERLINK("http://catalog.hathitrust.org/Record/000216713","HathiTrust Record")</f>
        <v/>
      </c>
      <c r="AU827">
        <f>HYPERLINK("https://creighton-primo.hosted.exlibrisgroup.com/primo-explore/search?tab=default_tab&amp;search_scope=EVERYTHING&amp;vid=01CRU&amp;lang=en_US&amp;offset=0&amp;query=any,contains,991004335089702656","Catalog Record")</f>
        <v/>
      </c>
      <c r="AV827">
        <f>HYPERLINK("http://www.worldcat.org/oclc/4569029","WorldCat Record")</f>
        <v/>
      </c>
      <c r="AW827" t="inlineStr">
        <is>
          <t>291583337:spa</t>
        </is>
      </c>
      <c r="AX827" t="inlineStr">
        <is>
          <t>4569029</t>
        </is>
      </c>
      <c r="AY827" t="inlineStr">
        <is>
          <t>991004335089702656</t>
        </is>
      </c>
      <c r="AZ827" t="inlineStr">
        <is>
          <t>991004335089702656</t>
        </is>
      </c>
      <c r="BA827" t="inlineStr">
        <is>
          <t>2255579370002656</t>
        </is>
      </c>
      <c r="BB827" t="inlineStr">
        <is>
          <t>BOOK</t>
        </is>
      </c>
      <c r="BD827" t="inlineStr">
        <is>
          <t>9788424907617</t>
        </is>
      </c>
      <c r="BE827" t="inlineStr">
        <is>
          <t>32285004927561</t>
        </is>
      </c>
      <c r="BF827" t="inlineStr">
        <is>
          <t>893599715</t>
        </is>
      </c>
    </row>
    <row r="828">
      <c r="A828" t="inlineStr">
        <is>
          <t>No</t>
        </is>
      </c>
      <c r="B828" t="inlineStr">
        <is>
          <t>CURAL</t>
        </is>
      </c>
      <c r="C828" t="inlineStr">
        <is>
          <t>SHELVES</t>
        </is>
      </c>
      <c r="D828" t="inlineStr">
        <is>
          <t>PQ7082.N7 R48 1985</t>
        </is>
      </c>
      <c r="E828" t="inlineStr">
        <is>
          <t>0                      PQ 7082000N  7                  R  48          1985</t>
        </is>
      </c>
      <c r="F828" t="inlineStr">
        <is>
          <t>Realismo mágico y conciencia mítica en América Latina : textos y contextos / Graciela N. Ricci Della Grisa.</t>
        </is>
      </c>
      <c r="H828" t="inlineStr">
        <is>
          <t>No</t>
        </is>
      </c>
      <c r="I828" t="inlineStr">
        <is>
          <t>1</t>
        </is>
      </c>
      <c r="J828" t="inlineStr">
        <is>
          <t>No</t>
        </is>
      </c>
      <c r="K828" t="inlineStr">
        <is>
          <t>No</t>
        </is>
      </c>
      <c r="L828" t="inlineStr">
        <is>
          <t>0</t>
        </is>
      </c>
      <c r="M828" t="inlineStr">
        <is>
          <t>Ricci Della Grisa, Graciela N.</t>
        </is>
      </c>
      <c r="N828" t="inlineStr">
        <is>
          <t>Buenos Aires, Argentina : F. García Cambeiro, c1985.</t>
        </is>
      </c>
      <c r="O828" t="inlineStr">
        <is>
          <t>1985</t>
        </is>
      </c>
      <c r="Q828" t="inlineStr">
        <is>
          <t>spa</t>
        </is>
      </c>
      <c r="R828" t="inlineStr">
        <is>
          <t xml:space="preserve">ag </t>
        </is>
      </c>
      <c r="S828" t="inlineStr">
        <is>
          <t>Colección Estudios latinoamericanos ; 30</t>
        </is>
      </c>
      <c r="T828" t="inlineStr">
        <is>
          <t xml:space="preserve">PQ </t>
        </is>
      </c>
      <c r="U828" t="n">
        <v>5</v>
      </c>
      <c r="V828" t="n">
        <v>5</v>
      </c>
      <c r="W828" t="inlineStr">
        <is>
          <t>1996-10-09</t>
        </is>
      </c>
      <c r="X828" t="inlineStr">
        <is>
          <t>1996-10-09</t>
        </is>
      </c>
      <c r="Y828" t="inlineStr">
        <is>
          <t>1995-05-06</t>
        </is>
      </c>
      <c r="Z828" t="inlineStr">
        <is>
          <t>1995-05-06</t>
        </is>
      </c>
      <c r="AA828" t="n">
        <v>216</v>
      </c>
      <c r="AB828" t="n">
        <v>173</v>
      </c>
      <c r="AC828" t="n">
        <v>177</v>
      </c>
      <c r="AD828" t="n">
        <v>2</v>
      </c>
      <c r="AE828" t="n">
        <v>2</v>
      </c>
      <c r="AF828" t="n">
        <v>4</v>
      </c>
      <c r="AG828" t="n">
        <v>4</v>
      </c>
      <c r="AH828" t="n">
        <v>2</v>
      </c>
      <c r="AI828" t="n">
        <v>2</v>
      </c>
      <c r="AJ828" t="n">
        <v>0</v>
      </c>
      <c r="AK828" t="n">
        <v>0</v>
      </c>
      <c r="AL828" t="n">
        <v>1</v>
      </c>
      <c r="AM828" t="n">
        <v>1</v>
      </c>
      <c r="AN828" t="n">
        <v>1</v>
      </c>
      <c r="AO828" t="n">
        <v>1</v>
      </c>
      <c r="AP828" t="n">
        <v>0</v>
      </c>
      <c r="AQ828" t="n">
        <v>0</v>
      </c>
      <c r="AR828" t="inlineStr">
        <is>
          <t>No</t>
        </is>
      </c>
      <c r="AS828" t="inlineStr">
        <is>
          <t>Yes</t>
        </is>
      </c>
      <c r="AT828">
        <f>HYPERLINK("http://catalog.hathitrust.org/Record/101095819","HathiTrust Record")</f>
        <v/>
      </c>
      <c r="AU828">
        <f>HYPERLINK("https://creighton-primo.hosted.exlibrisgroup.com/primo-explore/search?tab=default_tab&amp;search_scope=EVERYTHING&amp;vid=01CRU&amp;lang=en_US&amp;offset=0&amp;query=any,contains,991000716409702656","Catalog Record")</f>
        <v/>
      </c>
      <c r="AV828">
        <f>HYPERLINK("http://www.worldcat.org/oclc/12634499","WorldCat Record")</f>
        <v/>
      </c>
      <c r="AW828" t="inlineStr">
        <is>
          <t>9249391756:spa</t>
        </is>
      </c>
      <c r="AX828" t="inlineStr">
        <is>
          <t>12634499</t>
        </is>
      </c>
      <c r="AY828" t="inlineStr">
        <is>
          <t>991000716409702656</t>
        </is>
      </c>
      <c r="AZ828" t="inlineStr">
        <is>
          <t>991000716409702656</t>
        </is>
      </c>
      <c r="BA828" t="inlineStr">
        <is>
          <t>2258278400002656</t>
        </is>
      </c>
      <c r="BB828" t="inlineStr">
        <is>
          <t>BOOK</t>
        </is>
      </c>
      <c r="BD828" t="inlineStr">
        <is>
          <t>9789506430047</t>
        </is>
      </c>
      <c r="BE828" t="inlineStr">
        <is>
          <t>32285002037702</t>
        </is>
      </c>
      <c r="BF828" t="inlineStr">
        <is>
          <t>893696088</t>
        </is>
      </c>
    </row>
    <row r="829">
      <c r="A829" t="inlineStr">
        <is>
          <t>No</t>
        </is>
      </c>
      <c r="B829" t="inlineStr">
        <is>
          <t>CURAL</t>
        </is>
      </c>
      <c r="C829" t="inlineStr">
        <is>
          <t>SHELVES</t>
        </is>
      </c>
      <c r="D829" t="inlineStr">
        <is>
          <t>PQ7082.N7 S59 1988</t>
        </is>
      </c>
      <c r="E829" t="inlineStr">
        <is>
          <t>0                      PQ 7082000N  7                  S  59          1988</t>
        </is>
      </c>
      <c r="F829" t="inlineStr">
        <is>
          <t>La historia en la novela hispanoamericana moderna / por Raymond D. Souza.</t>
        </is>
      </c>
      <c r="H829" t="inlineStr">
        <is>
          <t>No</t>
        </is>
      </c>
      <c r="I829" t="inlineStr">
        <is>
          <t>1</t>
        </is>
      </c>
      <c r="J829" t="inlineStr">
        <is>
          <t>No</t>
        </is>
      </c>
      <c r="K829" t="inlineStr">
        <is>
          <t>No</t>
        </is>
      </c>
      <c r="L829" t="inlineStr">
        <is>
          <t>0</t>
        </is>
      </c>
      <c r="M829" t="inlineStr">
        <is>
          <t>Souza, Raymond D., 1936-</t>
        </is>
      </c>
      <c r="N829" t="inlineStr">
        <is>
          <t>Bogotá, Colombia : Tercer Mundo Editores, 1988.</t>
        </is>
      </c>
      <c r="O829" t="inlineStr">
        <is>
          <t>1988</t>
        </is>
      </c>
      <c r="P829" t="inlineStr">
        <is>
          <t>1a ed.</t>
        </is>
      </c>
      <c r="Q829" t="inlineStr">
        <is>
          <t>spa</t>
        </is>
      </c>
      <c r="R829" t="inlineStr">
        <is>
          <t xml:space="preserve">ck </t>
        </is>
      </c>
      <c r="S829" t="inlineStr">
        <is>
          <t>Crítica literaria</t>
        </is>
      </c>
      <c r="T829" t="inlineStr">
        <is>
          <t xml:space="preserve">PQ </t>
        </is>
      </c>
      <c r="U829" t="n">
        <v>2</v>
      </c>
      <c r="V829" t="n">
        <v>2</v>
      </c>
      <c r="W829" t="inlineStr">
        <is>
          <t>1995-08-21</t>
        </is>
      </c>
      <c r="X829" t="inlineStr">
        <is>
          <t>1995-08-21</t>
        </is>
      </c>
      <c r="Y829" t="inlineStr">
        <is>
          <t>1995-08-17</t>
        </is>
      </c>
      <c r="Z829" t="inlineStr">
        <is>
          <t>1995-08-17</t>
        </is>
      </c>
      <c r="AA829" t="n">
        <v>168</v>
      </c>
      <c r="AB829" t="n">
        <v>137</v>
      </c>
      <c r="AC829" t="n">
        <v>137</v>
      </c>
      <c r="AD829" t="n">
        <v>1</v>
      </c>
      <c r="AE829" t="n">
        <v>1</v>
      </c>
      <c r="AF829" t="n">
        <v>3</v>
      </c>
      <c r="AG829" t="n">
        <v>3</v>
      </c>
      <c r="AH829" t="n">
        <v>0</v>
      </c>
      <c r="AI829" t="n">
        <v>0</v>
      </c>
      <c r="AJ829" t="n">
        <v>2</v>
      </c>
      <c r="AK829" t="n">
        <v>2</v>
      </c>
      <c r="AL829" t="n">
        <v>2</v>
      </c>
      <c r="AM829" t="n">
        <v>2</v>
      </c>
      <c r="AN829" t="n">
        <v>0</v>
      </c>
      <c r="AO829" t="n">
        <v>0</v>
      </c>
      <c r="AP829" t="n">
        <v>0</v>
      </c>
      <c r="AQ829" t="n">
        <v>0</v>
      </c>
      <c r="AR829" t="inlineStr">
        <is>
          <t>No</t>
        </is>
      </c>
      <c r="AS829" t="inlineStr">
        <is>
          <t>No</t>
        </is>
      </c>
      <c r="AU829">
        <f>HYPERLINK("https://creighton-primo.hosted.exlibrisgroup.com/primo-explore/search?tab=default_tab&amp;search_scope=EVERYTHING&amp;vid=01CRU&amp;lang=en_US&amp;offset=0&amp;query=any,contains,991001426259702656","Catalog Record")</f>
        <v/>
      </c>
      <c r="AV829">
        <f>HYPERLINK("http://www.worldcat.org/oclc/19028265","WorldCat Record")</f>
        <v/>
      </c>
      <c r="AW829" t="inlineStr">
        <is>
          <t>139590855:spa</t>
        </is>
      </c>
      <c r="AX829" t="inlineStr">
        <is>
          <t>19028265</t>
        </is>
      </c>
      <c r="AY829" t="inlineStr">
        <is>
          <t>991001426259702656</t>
        </is>
      </c>
      <c r="AZ829" t="inlineStr">
        <is>
          <t>991001426259702656</t>
        </is>
      </c>
      <c r="BA829" t="inlineStr">
        <is>
          <t>2268500120002656</t>
        </is>
      </c>
      <c r="BB829" t="inlineStr">
        <is>
          <t>BOOK</t>
        </is>
      </c>
      <c r="BD829" t="inlineStr">
        <is>
          <t>9789586011921</t>
        </is>
      </c>
      <c r="BE829" t="inlineStr">
        <is>
          <t>32285002080496</t>
        </is>
      </c>
      <c r="BF829" t="inlineStr">
        <is>
          <t>893522570</t>
        </is>
      </c>
    </row>
    <row r="830">
      <c r="A830" t="inlineStr">
        <is>
          <t>No</t>
        </is>
      </c>
      <c r="B830" t="inlineStr">
        <is>
          <t>CURAL</t>
        </is>
      </c>
      <c r="C830" t="inlineStr">
        <is>
          <t>SHELVES</t>
        </is>
      </c>
      <c r="D830" t="inlineStr">
        <is>
          <t>PQ7082.N7 U8 1974</t>
        </is>
      </c>
      <c r="E830" t="inlineStr">
        <is>
          <t>0                      PQ 7082000N  7                  U  8           1974</t>
        </is>
      </c>
      <c r="F830" t="inlineStr">
        <is>
          <t>Breve historia de la novela hispanoamericana / Arturo Uslar-Pietri.</t>
        </is>
      </c>
      <c r="H830" t="inlineStr">
        <is>
          <t>No</t>
        </is>
      </c>
      <c r="I830" t="inlineStr">
        <is>
          <t>1</t>
        </is>
      </c>
      <c r="J830" t="inlineStr">
        <is>
          <t>No</t>
        </is>
      </c>
      <c r="K830" t="inlineStr">
        <is>
          <t>No</t>
        </is>
      </c>
      <c r="L830" t="inlineStr">
        <is>
          <t>0</t>
        </is>
      </c>
      <c r="M830" t="inlineStr">
        <is>
          <t>Uslar Pietri, Arturo, 1906-2001.</t>
        </is>
      </c>
      <c r="N830" t="inlineStr">
        <is>
          <t>Madrid : Mediterraaneo, 1974.</t>
        </is>
      </c>
      <c r="O830" t="inlineStr">
        <is>
          <t>1974</t>
        </is>
      </c>
      <c r="P830" t="inlineStr">
        <is>
          <t>2. ed.</t>
        </is>
      </c>
      <c r="Q830" t="inlineStr">
        <is>
          <t>spa</t>
        </is>
      </c>
      <c r="R830" t="inlineStr">
        <is>
          <t xml:space="preserve">sp </t>
        </is>
      </c>
      <c r="S830" t="inlineStr">
        <is>
          <t>Colección de bolsillo EDIME ; 79</t>
        </is>
      </c>
      <c r="T830" t="inlineStr">
        <is>
          <t xml:space="preserve">PQ </t>
        </is>
      </c>
      <c r="U830" t="n">
        <v>2</v>
      </c>
      <c r="V830" t="n">
        <v>2</v>
      </c>
      <c r="W830" t="inlineStr">
        <is>
          <t>2004-08-04</t>
        </is>
      </c>
      <c r="X830" t="inlineStr">
        <is>
          <t>2004-08-04</t>
        </is>
      </c>
      <c r="Y830" t="inlineStr">
        <is>
          <t>2004-08-04</t>
        </is>
      </c>
      <c r="Z830" t="inlineStr">
        <is>
          <t>2004-08-04</t>
        </is>
      </c>
      <c r="AA830" t="n">
        <v>80</v>
      </c>
      <c r="AB830" t="n">
        <v>68</v>
      </c>
      <c r="AC830" t="n">
        <v>311</v>
      </c>
      <c r="AD830" t="n">
        <v>1</v>
      </c>
      <c r="AE830" t="n">
        <v>4</v>
      </c>
      <c r="AF830" t="n">
        <v>1</v>
      </c>
      <c r="AG830" t="n">
        <v>17</v>
      </c>
      <c r="AH830" t="n">
        <v>0</v>
      </c>
      <c r="AI830" t="n">
        <v>5</v>
      </c>
      <c r="AJ830" t="n">
        <v>1</v>
      </c>
      <c r="AK830" t="n">
        <v>4</v>
      </c>
      <c r="AL830" t="n">
        <v>1</v>
      </c>
      <c r="AM830" t="n">
        <v>9</v>
      </c>
      <c r="AN830" t="n">
        <v>0</v>
      </c>
      <c r="AO830" t="n">
        <v>3</v>
      </c>
      <c r="AP830" t="n">
        <v>0</v>
      </c>
      <c r="AQ830" t="n">
        <v>0</v>
      </c>
      <c r="AR830" t="inlineStr">
        <is>
          <t>No</t>
        </is>
      </c>
      <c r="AS830" t="inlineStr">
        <is>
          <t>Yes</t>
        </is>
      </c>
      <c r="AT830">
        <f>HYPERLINK("http://catalog.hathitrust.org/Record/001519565","HathiTrust Record")</f>
        <v/>
      </c>
      <c r="AU830">
        <f>HYPERLINK("https://creighton-primo.hosted.exlibrisgroup.com/primo-explore/search?tab=default_tab&amp;search_scope=EVERYTHING&amp;vid=01CRU&amp;lang=en_US&amp;offset=0&amp;query=any,contains,991004336999702656","Catalog Record")</f>
        <v/>
      </c>
      <c r="AV830">
        <f>HYPERLINK("http://www.worldcat.org/oclc/1722906","WorldCat Record")</f>
        <v/>
      </c>
      <c r="AW830" t="inlineStr">
        <is>
          <t>63097641:spa</t>
        </is>
      </c>
      <c r="AX830" t="inlineStr">
        <is>
          <t>1722906</t>
        </is>
      </c>
      <c r="AY830" t="inlineStr">
        <is>
          <t>991004336999702656</t>
        </is>
      </c>
      <c r="AZ830" t="inlineStr">
        <is>
          <t>991004336999702656</t>
        </is>
      </c>
      <c r="BA830" t="inlineStr">
        <is>
          <t>2272714030002656</t>
        </is>
      </c>
      <c r="BB830" t="inlineStr">
        <is>
          <t>BOOK</t>
        </is>
      </c>
      <c r="BD830" t="inlineStr">
        <is>
          <t>9788471561480</t>
        </is>
      </c>
      <c r="BE830" t="inlineStr">
        <is>
          <t>32285004928684</t>
        </is>
      </c>
      <c r="BF830" t="inlineStr">
        <is>
          <t>893788576</t>
        </is>
      </c>
    </row>
    <row r="831">
      <c r="A831" t="inlineStr">
        <is>
          <t>No</t>
        </is>
      </c>
      <c r="B831" t="inlineStr">
        <is>
          <t>CURAL</t>
        </is>
      </c>
      <c r="C831" t="inlineStr">
        <is>
          <t>SHELVES</t>
        </is>
      </c>
      <c r="D831" t="inlineStr">
        <is>
          <t>PQ7082.N7 W55 1995</t>
        </is>
      </c>
      <c r="E831" t="inlineStr">
        <is>
          <t>0                      PQ 7082000N  7                  W  55          1995</t>
        </is>
      </c>
      <c r="F831" t="inlineStr">
        <is>
          <t>The postmodern novel in Latin America : politics, culture, and the crisis of truth / Raymond Leslie Williams.</t>
        </is>
      </c>
      <c r="H831" t="inlineStr">
        <is>
          <t>No</t>
        </is>
      </c>
      <c r="I831" t="inlineStr">
        <is>
          <t>1</t>
        </is>
      </c>
      <c r="J831" t="inlineStr">
        <is>
          <t>No</t>
        </is>
      </c>
      <c r="K831" t="inlineStr">
        <is>
          <t>No</t>
        </is>
      </c>
      <c r="L831" t="inlineStr">
        <is>
          <t>0</t>
        </is>
      </c>
      <c r="M831" t="inlineStr">
        <is>
          <t>Williams, Raymond L.</t>
        </is>
      </c>
      <c r="N831" t="inlineStr">
        <is>
          <t>New York : St. Martin's Press, 1995.</t>
        </is>
      </c>
      <c r="O831" t="inlineStr">
        <is>
          <t>1995</t>
        </is>
      </c>
      <c r="P831" t="inlineStr">
        <is>
          <t>1st ed.</t>
        </is>
      </c>
      <c r="Q831" t="inlineStr">
        <is>
          <t>eng</t>
        </is>
      </c>
      <c r="R831" t="inlineStr">
        <is>
          <t>nyu</t>
        </is>
      </c>
      <c r="T831" t="inlineStr">
        <is>
          <t xml:space="preserve">PQ </t>
        </is>
      </c>
      <c r="U831" t="n">
        <v>6</v>
      </c>
      <c r="V831" t="n">
        <v>6</v>
      </c>
      <c r="W831" t="inlineStr">
        <is>
          <t>2001-04-09</t>
        </is>
      </c>
      <c r="X831" t="inlineStr">
        <is>
          <t>2001-04-09</t>
        </is>
      </c>
      <c r="Y831" t="inlineStr">
        <is>
          <t>1995-12-27</t>
        </is>
      </c>
      <c r="Z831" t="inlineStr">
        <is>
          <t>1995-12-27</t>
        </is>
      </c>
      <c r="AA831" t="n">
        <v>419</v>
      </c>
      <c r="AB831" t="n">
        <v>365</v>
      </c>
      <c r="AC831" t="n">
        <v>374</v>
      </c>
      <c r="AD831" t="n">
        <v>3</v>
      </c>
      <c r="AE831" t="n">
        <v>3</v>
      </c>
      <c r="AF831" t="n">
        <v>22</v>
      </c>
      <c r="AG831" t="n">
        <v>22</v>
      </c>
      <c r="AH831" t="n">
        <v>9</v>
      </c>
      <c r="AI831" t="n">
        <v>9</v>
      </c>
      <c r="AJ831" t="n">
        <v>5</v>
      </c>
      <c r="AK831" t="n">
        <v>5</v>
      </c>
      <c r="AL831" t="n">
        <v>14</v>
      </c>
      <c r="AM831" t="n">
        <v>14</v>
      </c>
      <c r="AN831" t="n">
        <v>2</v>
      </c>
      <c r="AO831" t="n">
        <v>2</v>
      </c>
      <c r="AP831" t="n">
        <v>0</v>
      </c>
      <c r="AQ831" t="n">
        <v>0</v>
      </c>
      <c r="AR831" t="inlineStr">
        <is>
          <t>No</t>
        </is>
      </c>
      <c r="AS831" t="inlineStr">
        <is>
          <t>No</t>
        </is>
      </c>
      <c r="AU831">
        <f>HYPERLINK("https://creighton-primo.hosted.exlibrisgroup.com/primo-explore/search?tab=default_tab&amp;search_scope=EVERYTHING&amp;vid=01CRU&amp;lang=en_US&amp;offset=0&amp;query=any,contains,991002475519702656","Catalog Record")</f>
        <v/>
      </c>
      <c r="AV831">
        <f>HYPERLINK("http://www.worldcat.org/oclc/32237034","WorldCat Record")</f>
        <v/>
      </c>
      <c r="AW831" t="inlineStr">
        <is>
          <t>20680776:eng</t>
        </is>
      </c>
      <c r="AX831" t="inlineStr">
        <is>
          <t>32237034</t>
        </is>
      </c>
      <c r="AY831" t="inlineStr">
        <is>
          <t>991002475519702656</t>
        </is>
      </c>
      <c r="AZ831" t="inlineStr">
        <is>
          <t>991002475519702656</t>
        </is>
      </c>
      <c r="BA831" t="inlineStr">
        <is>
          <t>2267966120002656</t>
        </is>
      </c>
      <c r="BB831" t="inlineStr">
        <is>
          <t>BOOK</t>
        </is>
      </c>
      <c r="BD831" t="inlineStr">
        <is>
          <t>9780312120818</t>
        </is>
      </c>
      <c r="BE831" t="inlineStr">
        <is>
          <t>32285002112869</t>
        </is>
      </c>
      <c r="BF831" t="inlineStr">
        <is>
          <t>893898791</t>
        </is>
      </c>
    </row>
    <row r="832">
      <c r="A832" t="inlineStr">
        <is>
          <t>No</t>
        </is>
      </c>
      <c r="B832" t="inlineStr">
        <is>
          <t>CURAL</t>
        </is>
      </c>
      <c r="C832" t="inlineStr">
        <is>
          <t>SHELVES</t>
        </is>
      </c>
      <c r="D832" t="inlineStr">
        <is>
          <t>PQ7082.P7 B83 1985</t>
        </is>
      </c>
      <c r="E832" t="inlineStr">
        <is>
          <t>0                      PQ 7082000P  7                  B  83          1985</t>
        </is>
      </c>
      <c r="F832" t="inlineStr">
        <is>
          <t>Poesía hispanoamericana de vanguardia : procedimientos de interpretación textual / Raúl Bueno.</t>
        </is>
      </c>
      <c r="H832" t="inlineStr">
        <is>
          <t>No</t>
        </is>
      </c>
      <c r="I832" t="inlineStr">
        <is>
          <t>1</t>
        </is>
      </c>
      <c r="J832" t="inlineStr">
        <is>
          <t>No</t>
        </is>
      </c>
      <c r="K832" t="inlineStr">
        <is>
          <t>No</t>
        </is>
      </c>
      <c r="L832" t="inlineStr">
        <is>
          <t>0</t>
        </is>
      </c>
      <c r="M832" t="inlineStr">
        <is>
          <t>Bueno, Raúl, 1944-</t>
        </is>
      </c>
      <c r="N832" t="inlineStr">
        <is>
          <t>Lima : Latinoamericana Editores, c1985.</t>
        </is>
      </c>
      <c r="O832" t="inlineStr">
        <is>
          <t>1985</t>
        </is>
      </c>
      <c r="Q832" t="inlineStr">
        <is>
          <t>spa</t>
        </is>
      </c>
      <c r="R832" t="inlineStr">
        <is>
          <t xml:space="preserve">pe </t>
        </is>
      </c>
      <c r="T832" t="inlineStr">
        <is>
          <t xml:space="preserve">PQ </t>
        </is>
      </c>
      <c r="U832" t="n">
        <v>2</v>
      </c>
      <c r="V832" t="n">
        <v>2</v>
      </c>
      <c r="W832" t="inlineStr">
        <is>
          <t>1995-08-21</t>
        </is>
      </c>
      <c r="X832" t="inlineStr">
        <is>
          <t>1995-08-21</t>
        </is>
      </c>
      <c r="Y832" t="inlineStr">
        <is>
          <t>1995-08-17</t>
        </is>
      </c>
      <c r="Z832" t="inlineStr">
        <is>
          <t>1995-08-17</t>
        </is>
      </c>
      <c r="AA832" t="n">
        <v>138</v>
      </c>
      <c r="AB832" t="n">
        <v>98</v>
      </c>
      <c r="AC832" t="n">
        <v>105</v>
      </c>
      <c r="AD832" t="n">
        <v>1</v>
      </c>
      <c r="AE832" t="n">
        <v>1</v>
      </c>
      <c r="AF832" t="n">
        <v>2</v>
      </c>
      <c r="AG832" t="n">
        <v>2</v>
      </c>
      <c r="AH832" t="n">
        <v>0</v>
      </c>
      <c r="AI832" t="n">
        <v>0</v>
      </c>
      <c r="AJ832" t="n">
        <v>1</v>
      </c>
      <c r="AK832" t="n">
        <v>1</v>
      </c>
      <c r="AL832" t="n">
        <v>1</v>
      </c>
      <c r="AM832" t="n">
        <v>1</v>
      </c>
      <c r="AN832" t="n">
        <v>0</v>
      </c>
      <c r="AO832" t="n">
        <v>0</v>
      </c>
      <c r="AP832" t="n">
        <v>0</v>
      </c>
      <c r="AQ832" t="n">
        <v>0</v>
      </c>
      <c r="AR832" t="inlineStr">
        <is>
          <t>No</t>
        </is>
      </c>
      <c r="AS832" t="inlineStr">
        <is>
          <t>Yes</t>
        </is>
      </c>
      <c r="AT832">
        <f>HYPERLINK("http://catalog.hathitrust.org/Record/101096042","HathiTrust Record")</f>
        <v/>
      </c>
      <c r="AU832">
        <f>HYPERLINK("https://creighton-primo.hosted.exlibrisgroup.com/primo-explore/search?tab=default_tab&amp;search_scope=EVERYTHING&amp;vid=01CRU&amp;lang=en_US&amp;offset=0&amp;query=any,contains,991000748859702656","Catalog Record")</f>
        <v/>
      </c>
      <c r="AV832">
        <f>HYPERLINK("http://www.worldcat.org/oclc/12899050","WorldCat Record")</f>
        <v/>
      </c>
      <c r="AW832" t="inlineStr">
        <is>
          <t>198287521:spa</t>
        </is>
      </c>
      <c r="AX832" t="inlineStr">
        <is>
          <t>12899050</t>
        </is>
      </c>
      <c r="AY832" t="inlineStr">
        <is>
          <t>991000748859702656</t>
        </is>
      </c>
      <c r="AZ832" t="inlineStr">
        <is>
          <t>991000748859702656</t>
        </is>
      </c>
      <c r="BA832" t="inlineStr">
        <is>
          <t>2266887550002656</t>
        </is>
      </c>
      <c r="BB832" t="inlineStr">
        <is>
          <t>BOOK</t>
        </is>
      </c>
      <c r="BE832" t="inlineStr">
        <is>
          <t>32285002080322</t>
        </is>
      </c>
      <c r="BF832" t="inlineStr">
        <is>
          <t>893432258</t>
        </is>
      </c>
    </row>
    <row r="833">
      <c r="A833" t="inlineStr">
        <is>
          <t>No</t>
        </is>
      </c>
      <c r="B833" t="inlineStr">
        <is>
          <t>CURAL</t>
        </is>
      </c>
      <c r="C833" t="inlineStr">
        <is>
          <t>SHELVES</t>
        </is>
      </c>
      <c r="D833" t="inlineStr">
        <is>
          <t>PQ7082.P7 C48 1989</t>
        </is>
      </c>
      <c r="E833" t="inlineStr">
        <is>
          <t>0                      PQ 7082000P  7                  C  48          1989</t>
        </is>
      </c>
      <c r="F833" t="inlineStr">
        <is>
          <t>Leyendo América Latina : poesía, ficción, cultura / J.G. Cobo Borda.</t>
        </is>
      </c>
      <c r="H833" t="inlineStr">
        <is>
          <t>No</t>
        </is>
      </c>
      <c r="I833" t="inlineStr">
        <is>
          <t>1</t>
        </is>
      </c>
      <c r="J833" t="inlineStr">
        <is>
          <t>No</t>
        </is>
      </c>
      <c r="K833" t="inlineStr">
        <is>
          <t>No</t>
        </is>
      </c>
      <c r="L833" t="inlineStr">
        <is>
          <t>0</t>
        </is>
      </c>
      <c r="M833" t="inlineStr">
        <is>
          <t>Cobo Borda, J. G., 1948-</t>
        </is>
      </c>
      <c r="N833" t="inlineStr">
        <is>
          <t>Caracas : Academia Nacional de la Historia, 1989.</t>
        </is>
      </c>
      <c r="O833" t="inlineStr">
        <is>
          <t>1989</t>
        </is>
      </c>
      <c r="Q833" t="inlineStr">
        <is>
          <t>spa</t>
        </is>
      </c>
      <c r="R833" t="inlineStr">
        <is>
          <t xml:space="preserve">ve </t>
        </is>
      </c>
      <c r="S833" t="inlineStr">
        <is>
          <t>El Libro menor ; 144</t>
        </is>
      </c>
      <c r="T833" t="inlineStr">
        <is>
          <t xml:space="preserve">PQ </t>
        </is>
      </c>
      <c r="U833" t="n">
        <v>1</v>
      </c>
      <c r="V833" t="n">
        <v>1</v>
      </c>
      <c r="W833" t="inlineStr">
        <is>
          <t>2004-08-05</t>
        </is>
      </c>
      <c r="X833" t="inlineStr">
        <is>
          <t>2004-08-05</t>
        </is>
      </c>
      <c r="Y833" t="inlineStr">
        <is>
          <t>2004-08-05</t>
        </is>
      </c>
      <c r="Z833" t="inlineStr">
        <is>
          <t>2004-08-05</t>
        </is>
      </c>
      <c r="AA833" t="n">
        <v>47</v>
      </c>
      <c r="AB833" t="n">
        <v>34</v>
      </c>
      <c r="AC833" t="n">
        <v>41</v>
      </c>
      <c r="AD833" t="n">
        <v>1</v>
      </c>
      <c r="AE833" t="n">
        <v>1</v>
      </c>
      <c r="AF833" t="n">
        <v>1</v>
      </c>
      <c r="AG833" t="n">
        <v>1</v>
      </c>
      <c r="AH833" t="n">
        <v>0</v>
      </c>
      <c r="AI833" t="n">
        <v>0</v>
      </c>
      <c r="AJ833" t="n">
        <v>0</v>
      </c>
      <c r="AK833" t="n">
        <v>0</v>
      </c>
      <c r="AL833" t="n">
        <v>1</v>
      </c>
      <c r="AM833" t="n">
        <v>1</v>
      </c>
      <c r="AN833" t="n">
        <v>0</v>
      </c>
      <c r="AO833" t="n">
        <v>0</v>
      </c>
      <c r="AP833" t="n">
        <v>0</v>
      </c>
      <c r="AQ833" t="n">
        <v>0</v>
      </c>
      <c r="AR833" t="inlineStr">
        <is>
          <t>No</t>
        </is>
      </c>
      <c r="AS833" t="inlineStr">
        <is>
          <t>No</t>
        </is>
      </c>
      <c r="AU833">
        <f>HYPERLINK("https://creighton-primo.hosted.exlibrisgroup.com/primo-explore/search?tab=default_tab&amp;search_scope=EVERYTHING&amp;vid=01CRU&amp;lang=en_US&amp;offset=0&amp;query=any,contains,991004338229702656","Catalog Record")</f>
        <v/>
      </c>
      <c r="AV833">
        <f>HYPERLINK("http://www.worldcat.org/oclc/22660791","WorldCat Record")</f>
        <v/>
      </c>
      <c r="AW833" t="inlineStr">
        <is>
          <t>24047738:spa</t>
        </is>
      </c>
      <c r="AX833" t="inlineStr">
        <is>
          <t>22660791</t>
        </is>
      </c>
      <c r="AY833" t="inlineStr">
        <is>
          <t>991004338229702656</t>
        </is>
      </c>
      <c r="AZ833" t="inlineStr">
        <is>
          <t>991004338229702656</t>
        </is>
      </c>
      <c r="BA833" t="inlineStr">
        <is>
          <t>2260025070002656</t>
        </is>
      </c>
      <c r="BB833" t="inlineStr">
        <is>
          <t>BOOK</t>
        </is>
      </c>
      <c r="BE833" t="inlineStr">
        <is>
          <t>32285004929963</t>
        </is>
      </c>
      <c r="BF833" t="inlineStr">
        <is>
          <t>893599720</t>
        </is>
      </c>
    </row>
    <row r="834">
      <c r="A834" t="inlineStr">
        <is>
          <t>No</t>
        </is>
      </c>
      <c r="B834" t="inlineStr">
        <is>
          <t>CURAL</t>
        </is>
      </c>
      <c r="C834" t="inlineStr">
        <is>
          <t>SHELVES</t>
        </is>
      </c>
      <c r="D834" t="inlineStr">
        <is>
          <t>PQ7082.P7 S34 1996</t>
        </is>
      </c>
      <c r="E834" t="inlineStr">
        <is>
          <t>0                      PQ 7082000P  7                  S  34          1996</t>
        </is>
      </c>
      <c r="F834" t="inlineStr">
        <is>
          <t>De la imaginación poética : conversaciones con Gonzalo Rojas, Olga Orozco, Alvaro Mutis y José Kozer / Jacobo Sefamí.</t>
        </is>
      </c>
      <c r="H834" t="inlineStr">
        <is>
          <t>No</t>
        </is>
      </c>
      <c r="I834" t="inlineStr">
        <is>
          <t>1</t>
        </is>
      </c>
      <c r="J834" t="inlineStr">
        <is>
          <t>No</t>
        </is>
      </c>
      <c r="K834" t="inlineStr">
        <is>
          <t>No</t>
        </is>
      </c>
      <c r="L834" t="inlineStr">
        <is>
          <t>0</t>
        </is>
      </c>
      <c r="M834" t="inlineStr">
        <is>
          <t>Sefamí, Jacobo, 1957-</t>
        </is>
      </c>
      <c r="N834" t="inlineStr">
        <is>
          <t>Caracas, Venezuela : Monte Avila Editores, 1996.</t>
        </is>
      </c>
      <c r="O834" t="inlineStr">
        <is>
          <t>1996</t>
        </is>
      </c>
      <c r="P834" t="inlineStr">
        <is>
          <t>1. ed.</t>
        </is>
      </c>
      <c r="Q834" t="inlineStr">
        <is>
          <t>spa</t>
        </is>
      </c>
      <c r="R834" t="inlineStr">
        <is>
          <t xml:space="preserve">ve </t>
        </is>
      </c>
      <c r="S834" t="inlineStr">
        <is>
          <t>Colección Documentos. Serie documental</t>
        </is>
      </c>
      <c r="T834" t="inlineStr">
        <is>
          <t xml:space="preserve">PQ </t>
        </is>
      </c>
      <c r="U834" t="n">
        <v>1</v>
      </c>
      <c r="V834" t="n">
        <v>1</v>
      </c>
      <c r="W834" t="inlineStr">
        <is>
          <t>2001-12-12</t>
        </is>
      </c>
      <c r="X834" t="inlineStr">
        <is>
          <t>2001-12-12</t>
        </is>
      </c>
      <c r="Y834" t="inlineStr">
        <is>
          <t>2001-12-11</t>
        </is>
      </c>
      <c r="Z834" t="inlineStr">
        <is>
          <t>2001-12-11</t>
        </is>
      </c>
      <c r="AA834" t="n">
        <v>63</v>
      </c>
      <c r="AB834" t="n">
        <v>48</v>
      </c>
      <c r="AC834" t="n">
        <v>50</v>
      </c>
      <c r="AD834" t="n">
        <v>1</v>
      </c>
      <c r="AE834" t="n">
        <v>1</v>
      </c>
      <c r="AF834" t="n">
        <v>2</v>
      </c>
      <c r="AG834" t="n">
        <v>2</v>
      </c>
      <c r="AH834" t="n">
        <v>0</v>
      </c>
      <c r="AI834" t="n">
        <v>0</v>
      </c>
      <c r="AJ834" t="n">
        <v>1</v>
      </c>
      <c r="AK834" t="n">
        <v>1</v>
      </c>
      <c r="AL834" t="n">
        <v>2</v>
      </c>
      <c r="AM834" t="n">
        <v>2</v>
      </c>
      <c r="AN834" t="n">
        <v>0</v>
      </c>
      <c r="AO834" t="n">
        <v>0</v>
      </c>
      <c r="AP834" t="n">
        <v>0</v>
      </c>
      <c r="AQ834" t="n">
        <v>0</v>
      </c>
      <c r="AR834" t="inlineStr">
        <is>
          <t>No</t>
        </is>
      </c>
      <c r="AS834" t="inlineStr">
        <is>
          <t>Yes</t>
        </is>
      </c>
      <c r="AT834">
        <f>HYPERLINK("http://catalog.hathitrust.org/Record/101096075","HathiTrust Record")</f>
        <v/>
      </c>
      <c r="AU834">
        <f>HYPERLINK("https://creighton-primo.hosted.exlibrisgroup.com/primo-explore/search?tab=default_tab&amp;search_scope=EVERYTHING&amp;vid=01CRU&amp;lang=en_US&amp;offset=0&amp;query=any,contains,991003694989702656","Catalog Record")</f>
        <v/>
      </c>
      <c r="AV834">
        <f>HYPERLINK("http://www.worldcat.org/oclc/36029911","WorldCat Record")</f>
        <v/>
      </c>
      <c r="AW834" t="inlineStr">
        <is>
          <t>365515612:spa</t>
        </is>
      </c>
      <c r="AX834" t="inlineStr">
        <is>
          <t>36029911</t>
        </is>
      </c>
      <c r="AY834" t="inlineStr">
        <is>
          <t>991003694989702656</t>
        </is>
      </c>
      <c r="AZ834" t="inlineStr">
        <is>
          <t>991003694989702656</t>
        </is>
      </c>
      <c r="BA834" t="inlineStr">
        <is>
          <t>2263912960002656</t>
        </is>
      </c>
      <c r="BB834" t="inlineStr">
        <is>
          <t>BOOK</t>
        </is>
      </c>
      <c r="BD834" t="inlineStr">
        <is>
          <t>9789800108147</t>
        </is>
      </c>
      <c r="BE834" t="inlineStr">
        <is>
          <t>32285004427794</t>
        </is>
      </c>
      <c r="BF834" t="inlineStr">
        <is>
          <t>893693042</t>
        </is>
      </c>
    </row>
    <row r="835">
      <c r="A835" t="inlineStr">
        <is>
          <t>No</t>
        </is>
      </c>
      <c r="B835" t="inlineStr">
        <is>
          <t>CURAL</t>
        </is>
      </c>
      <c r="C835" t="inlineStr">
        <is>
          <t>SHELVES</t>
        </is>
      </c>
      <c r="D835" t="inlineStr">
        <is>
          <t>PQ7082.P7 S87 1985</t>
        </is>
      </c>
      <c r="E835" t="inlineStr">
        <is>
          <t>0                      PQ 7082000P  7                  S  87          1985</t>
        </is>
      </c>
      <c r="F835" t="inlineStr">
        <is>
          <t>La máscara, la transparencia / Guillermo Sucre.</t>
        </is>
      </c>
      <c r="H835" t="inlineStr">
        <is>
          <t>No</t>
        </is>
      </c>
      <c r="I835" t="inlineStr">
        <is>
          <t>1</t>
        </is>
      </c>
      <c r="J835" t="inlineStr">
        <is>
          <t>No</t>
        </is>
      </c>
      <c r="K835" t="inlineStr">
        <is>
          <t>No</t>
        </is>
      </c>
      <c r="L835" t="inlineStr">
        <is>
          <t>0</t>
        </is>
      </c>
      <c r="M835" t="inlineStr">
        <is>
          <t>Sucre, Guillermo.</t>
        </is>
      </c>
      <c r="N835" t="inlineStr">
        <is>
          <t>México : Fondo de Cultura Económica, 1985.</t>
        </is>
      </c>
      <c r="O835" t="inlineStr">
        <is>
          <t>1985</t>
        </is>
      </c>
      <c r="P835" t="inlineStr">
        <is>
          <t>2a ed., corr. y aum.</t>
        </is>
      </c>
      <c r="Q835" t="inlineStr">
        <is>
          <t>spa</t>
        </is>
      </c>
      <c r="R835" t="inlineStr">
        <is>
          <t xml:space="preserve">mx </t>
        </is>
      </c>
      <c r="S835" t="inlineStr">
        <is>
          <t>Colección Tierra firme</t>
        </is>
      </c>
      <c r="T835" t="inlineStr">
        <is>
          <t xml:space="preserve">PQ </t>
        </is>
      </c>
      <c r="U835" t="n">
        <v>3</v>
      </c>
      <c r="V835" t="n">
        <v>3</v>
      </c>
      <c r="W835" t="inlineStr">
        <is>
          <t>1999-11-22</t>
        </is>
      </c>
      <c r="X835" t="inlineStr">
        <is>
          <t>1999-11-22</t>
        </is>
      </c>
      <c r="Y835" t="inlineStr">
        <is>
          <t>1994-01-20</t>
        </is>
      </c>
      <c r="Z835" t="inlineStr">
        <is>
          <t>1994-01-20</t>
        </is>
      </c>
      <c r="AA835" t="n">
        <v>161</v>
      </c>
      <c r="AB835" t="n">
        <v>138</v>
      </c>
      <c r="AC835" t="n">
        <v>144</v>
      </c>
      <c r="AD835" t="n">
        <v>2</v>
      </c>
      <c r="AE835" t="n">
        <v>2</v>
      </c>
      <c r="AF835" t="n">
        <v>8</v>
      </c>
      <c r="AG835" t="n">
        <v>8</v>
      </c>
      <c r="AH835" t="n">
        <v>1</v>
      </c>
      <c r="AI835" t="n">
        <v>1</v>
      </c>
      <c r="AJ835" t="n">
        <v>3</v>
      </c>
      <c r="AK835" t="n">
        <v>3</v>
      </c>
      <c r="AL835" t="n">
        <v>4</v>
      </c>
      <c r="AM835" t="n">
        <v>4</v>
      </c>
      <c r="AN835" t="n">
        <v>1</v>
      </c>
      <c r="AO835" t="n">
        <v>1</v>
      </c>
      <c r="AP835" t="n">
        <v>0</v>
      </c>
      <c r="AQ835" t="n">
        <v>0</v>
      </c>
      <c r="AR835" t="inlineStr">
        <is>
          <t>No</t>
        </is>
      </c>
      <c r="AS835" t="inlineStr">
        <is>
          <t>Yes</t>
        </is>
      </c>
      <c r="AT835">
        <f>HYPERLINK("http://catalog.hathitrust.org/Record/101096081","HathiTrust Record")</f>
        <v/>
      </c>
      <c r="AU835">
        <f>HYPERLINK("https://creighton-primo.hosted.exlibrisgroup.com/primo-explore/search?tab=default_tab&amp;search_scope=EVERYTHING&amp;vid=01CRU&amp;lang=en_US&amp;offset=0&amp;query=any,contains,991000933719702656","Catalog Record")</f>
        <v/>
      </c>
      <c r="AV835">
        <f>HYPERLINK("http://www.worldcat.org/oclc/14347647","WorldCat Record")</f>
        <v/>
      </c>
      <c r="AW835" t="inlineStr">
        <is>
          <t>350920371:spa</t>
        </is>
      </c>
      <c r="AX835" t="inlineStr">
        <is>
          <t>14347647</t>
        </is>
      </c>
      <c r="AY835" t="inlineStr">
        <is>
          <t>991000933719702656</t>
        </is>
      </c>
      <c r="AZ835" t="inlineStr">
        <is>
          <t>991000933719702656</t>
        </is>
      </c>
      <c r="BA835" t="inlineStr">
        <is>
          <t>2259472130002656</t>
        </is>
      </c>
      <c r="BB835" t="inlineStr">
        <is>
          <t>BOOK</t>
        </is>
      </c>
      <c r="BD835" t="inlineStr">
        <is>
          <t>9789681620172</t>
        </is>
      </c>
      <c r="BE835" t="inlineStr">
        <is>
          <t>32285001832764</t>
        </is>
      </c>
      <c r="BF835" t="inlineStr">
        <is>
          <t>893340019</t>
        </is>
      </c>
    </row>
    <row r="836">
      <c r="A836" t="inlineStr">
        <is>
          <t>No</t>
        </is>
      </c>
      <c r="B836" t="inlineStr">
        <is>
          <t>CURAL</t>
        </is>
      </c>
      <c r="C836" t="inlineStr">
        <is>
          <t>SHELVES</t>
        </is>
      </c>
      <c r="D836" t="inlineStr">
        <is>
          <t>PQ7082.P7 Y8 1984</t>
        </is>
      </c>
      <c r="E836" t="inlineStr">
        <is>
          <t>0                      PQ 7082000P  7                  Y  8           1984</t>
        </is>
      </c>
      <c r="F836" t="inlineStr">
        <is>
          <t>Fundadores de la nueva poesía latinoamericana : Vallejo, Huidobro, Borges, Girondo, Neruda, Paz, Lezama Lima / Saúl Yurkievich.</t>
        </is>
      </c>
      <c r="H836" t="inlineStr">
        <is>
          <t>No</t>
        </is>
      </c>
      <c r="I836" t="inlineStr">
        <is>
          <t>1</t>
        </is>
      </c>
      <c r="J836" t="inlineStr">
        <is>
          <t>No</t>
        </is>
      </c>
      <c r="K836" t="inlineStr">
        <is>
          <t>No</t>
        </is>
      </c>
      <c r="L836" t="inlineStr">
        <is>
          <t>0</t>
        </is>
      </c>
      <c r="M836" t="inlineStr">
        <is>
          <t>Yurkiévich, Saúl.</t>
        </is>
      </c>
      <c r="N836" t="inlineStr">
        <is>
          <t>Barcelona : Ariel, 1984.</t>
        </is>
      </c>
      <c r="O836" t="inlineStr">
        <is>
          <t>1984</t>
        </is>
      </c>
      <c r="P836" t="inlineStr">
        <is>
          <t>1a ed. aum. en "Letras e ideas".</t>
        </is>
      </c>
      <c r="Q836" t="inlineStr">
        <is>
          <t>spa</t>
        </is>
      </c>
      <c r="R836" t="inlineStr">
        <is>
          <t xml:space="preserve">sp </t>
        </is>
      </c>
      <c r="S836" t="inlineStr">
        <is>
          <t>Letras e ideas. Studia</t>
        </is>
      </c>
      <c r="T836" t="inlineStr">
        <is>
          <t xml:space="preserve">PQ </t>
        </is>
      </c>
      <c r="U836" t="n">
        <v>3</v>
      </c>
      <c r="V836" t="n">
        <v>3</v>
      </c>
      <c r="W836" t="inlineStr">
        <is>
          <t>1998-02-16</t>
        </is>
      </c>
      <c r="X836" t="inlineStr">
        <is>
          <t>1998-02-16</t>
        </is>
      </c>
      <c r="Y836" t="inlineStr">
        <is>
          <t>1995-08-17</t>
        </is>
      </c>
      <c r="Z836" t="inlineStr">
        <is>
          <t>1995-08-17</t>
        </is>
      </c>
      <c r="AA836" t="n">
        <v>140</v>
      </c>
      <c r="AB836" t="n">
        <v>103</v>
      </c>
      <c r="AC836" t="n">
        <v>172</v>
      </c>
      <c r="AD836" t="n">
        <v>1</v>
      </c>
      <c r="AE836" t="n">
        <v>1</v>
      </c>
      <c r="AF836" t="n">
        <v>4</v>
      </c>
      <c r="AG836" t="n">
        <v>5</v>
      </c>
      <c r="AH836" t="n">
        <v>1</v>
      </c>
      <c r="AI836" t="n">
        <v>1</v>
      </c>
      <c r="AJ836" t="n">
        <v>2</v>
      </c>
      <c r="AK836" t="n">
        <v>2</v>
      </c>
      <c r="AL836" t="n">
        <v>3</v>
      </c>
      <c r="AM836" t="n">
        <v>4</v>
      </c>
      <c r="AN836" t="n">
        <v>0</v>
      </c>
      <c r="AO836" t="n">
        <v>0</v>
      </c>
      <c r="AP836" t="n">
        <v>0</v>
      </c>
      <c r="AQ836" t="n">
        <v>0</v>
      </c>
      <c r="AR836" t="inlineStr">
        <is>
          <t>No</t>
        </is>
      </c>
      <c r="AS836" t="inlineStr">
        <is>
          <t>Yes</t>
        </is>
      </c>
      <c r="AT836">
        <f>HYPERLINK("http://catalog.hathitrust.org/Record/007109457","HathiTrust Record")</f>
        <v/>
      </c>
      <c r="AU836">
        <f>HYPERLINK("https://creighton-primo.hosted.exlibrisgroup.com/primo-explore/search?tab=default_tab&amp;search_scope=EVERYTHING&amp;vid=01CRU&amp;lang=en_US&amp;offset=0&amp;query=any,contains,991000528889702656","Catalog Record")</f>
        <v/>
      </c>
      <c r="AV836">
        <f>HYPERLINK("http://www.worldcat.org/oclc/11382955","WorldCat Record")</f>
        <v/>
      </c>
      <c r="AW836" t="inlineStr">
        <is>
          <t>1389440:spa</t>
        </is>
      </c>
      <c r="AX836" t="inlineStr">
        <is>
          <t>11382955</t>
        </is>
      </c>
      <c r="AY836" t="inlineStr">
        <is>
          <t>991000528889702656</t>
        </is>
      </c>
      <c r="AZ836" t="inlineStr">
        <is>
          <t>991000528889702656</t>
        </is>
      </c>
      <c r="BA836" t="inlineStr">
        <is>
          <t>2270027770002656</t>
        </is>
      </c>
      <c r="BB836" t="inlineStr">
        <is>
          <t>BOOK</t>
        </is>
      </c>
      <c r="BD836" t="inlineStr">
        <is>
          <t>9788434483736</t>
        </is>
      </c>
      <c r="BE836" t="inlineStr">
        <is>
          <t>32285002080256</t>
        </is>
      </c>
      <c r="BF836" t="inlineStr">
        <is>
          <t>893695913</t>
        </is>
      </c>
    </row>
    <row r="837">
      <c r="A837" t="inlineStr">
        <is>
          <t>No</t>
        </is>
      </c>
      <c r="B837" t="inlineStr">
        <is>
          <t>CURAL</t>
        </is>
      </c>
      <c r="C837" t="inlineStr">
        <is>
          <t>SHELVES</t>
        </is>
      </c>
      <c r="D837" t="inlineStr">
        <is>
          <t>PQ7082.P76 R62 1997</t>
        </is>
      </c>
      <c r="E837" t="inlineStr">
        <is>
          <t>0                      PQ 7082000P  76                 R  62          1997</t>
        </is>
      </c>
      <c r="F837" t="inlineStr">
        <is>
          <t>El enfoque documental en la narrativa hispanoamericana : estudio taxonómico / Julio Rodríguez-Luis.</t>
        </is>
      </c>
      <c r="H837" t="inlineStr">
        <is>
          <t>No</t>
        </is>
      </c>
      <c r="I837" t="inlineStr">
        <is>
          <t>1</t>
        </is>
      </c>
      <c r="J837" t="inlineStr">
        <is>
          <t>No</t>
        </is>
      </c>
      <c r="K837" t="inlineStr">
        <is>
          <t>No</t>
        </is>
      </c>
      <c r="L837" t="inlineStr">
        <is>
          <t>0</t>
        </is>
      </c>
      <c r="M837" t="inlineStr">
        <is>
          <t>Rodríguez-Luis, Julio.</t>
        </is>
      </c>
      <c r="N837" t="inlineStr">
        <is>
          <t>México, D.F. : Fondo de Cultura Económica, 1997.</t>
        </is>
      </c>
      <c r="O837" t="inlineStr">
        <is>
          <t>1997</t>
        </is>
      </c>
      <c r="P837" t="inlineStr">
        <is>
          <t>1a. ed.</t>
        </is>
      </c>
      <c r="Q837" t="inlineStr">
        <is>
          <t>spa</t>
        </is>
      </c>
      <c r="R837" t="inlineStr">
        <is>
          <t xml:space="preserve">mx </t>
        </is>
      </c>
      <c r="S837" t="inlineStr">
        <is>
          <t>Sección de obras de lengua y estudios literarios</t>
        </is>
      </c>
      <c r="T837" t="inlineStr">
        <is>
          <t xml:space="preserve">PQ </t>
        </is>
      </c>
      <c r="U837" t="n">
        <v>1</v>
      </c>
      <c r="V837" t="n">
        <v>1</v>
      </c>
      <c r="W837" t="inlineStr">
        <is>
          <t>2000-09-05</t>
        </is>
      </c>
      <c r="X837" t="inlineStr">
        <is>
          <t>2000-09-05</t>
        </is>
      </c>
      <c r="Y837" t="inlineStr">
        <is>
          <t>2000-09-05</t>
        </is>
      </c>
      <c r="Z837" t="inlineStr">
        <is>
          <t>2000-09-05</t>
        </is>
      </c>
      <c r="AA837" t="n">
        <v>148</v>
      </c>
      <c r="AB837" t="n">
        <v>117</v>
      </c>
      <c r="AC837" t="n">
        <v>119</v>
      </c>
      <c r="AD837" t="n">
        <v>2</v>
      </c>
      <c r="AE837" t="n">
        <v>2</v>
      </c>
      <c r="AF837" t="n">
        <v>8</v>
      </c>
      <c r="AG837" t="n">
        <v>8</v>
      </c>
      <c r="AH837" t="n">
        <v>3</v>
      </c>
      <c r="AI837" t="n">
        <v>3</v>
      </c>
      <c r="AJ837" t="n">
        <v>2</v>
      </c>
      <c r="AK837" t="n">
        <v>2</v>
      </c>
      <c r="AL837" t="n">
        <v>5</v>
      </c>
      <c r="AM837" t="n">
        <v>5</v>
      </c>
      <c r="AN837" t="n">
        <v>1</v>
      </c>
      <c r="AO837" t="n">
        <v>1</v>
      </c>
      <c r="AP837" t="n">
        <v>0</v>
      </c>
      <c r="AQ837" t="n">
        <v>0</v>
      </c>
      <c r="AR837" t="inlineStr">
        <is>
          <t>No</t>
        </is>
      </c>
      <c r="AS837" t="inlineStr">
        <is>
          <t>Yes</t>
        </is>
      </c>
      <c r="AT837">
        <f>HYPERLINK("http://catalog.hathitrust.org/Record/003981325","HathiTrust Record")</f>
        <v/>
      </c>
      <c r="AU837">
        <f>HYPERLINK("https://creighton-primo.hosted.exlibrisgroup.com/primo-explore/search?tab=default_tab&amp;search_scope=EVERYTHING&amp;vid=01CRU&amp;lang=en_US&amp;offset=0&amp;query=any,contains,991003252239702656","Catalog Record")</f>
        <v/>
      </c>
      <c r="AV837">
        <f>HYPERLINK("http://www.worldcat.org/oclc/39334089","WorldCat Record")</f>
        <v/>
      </c>
      <c r="AW837" t="inlineStr">
        <is>
          <t>365071145:spa</t>
        </is>
      </c>
      <c r="AX837" t="inlineStr">
        <is>
          <t>39334089</t>
        </is>
      </c>
      <c r="AY837" t="inlineStr">
        <is>
          <t>991003252239702656</t>
        </is>
      </c>
      <c r="AZ837" t="inlineStr">
        <is>
          <t>991003252239702656</t>
        </is>
      </c>
      <c r="BA837" t="inlineStr">
        <is>
          <t>2265511300002656</t>
        </is>
      </c>
      <c r="BB837" t="inlineStr">
        <is>
          <t>BOOK</t>
        </is>
      </c>
      <c r="BD837" t="inlineStr">
        <is>
          <t>9789681650780</t>
        </is>
      </c>
      <c r="BE837" t="inlineStr">
        <is>
          <t>32285003760021</t>
        </is>
      </c>
      <c r="BF837" t="inlineStr">
        <is>
          <t>893246179</t>
        </is>
      </c>
    </row>
    <row r="838">
      <c r="A838" t="inlineStr">
        <is>
          <t>No</t>
        </is>
      </c>
      <c r="B838" t="inlineStr">
        <is>
          <t>CURAL</t>
        </is>
      </c>
      <c r="C838" t="inlineStr">
        <is>
          <t>SHELVES</t>
        </is>
      </c>
      <c r="D838" t="inlineStr">
        <is>
          <t>PQ7083 .I5</t>
        </is>
      </c>
      <c r="E838" t="inlineStr">
        <is>
          <t>0                      PQ 7083000I  5</t>
        </is>
      </c>
      <c r="F838" t="inlineStr">
        <is>
          <t>An anthology of Spanish American literature, prepared under the auspices of the Instituto internacional de literatura iberoamericana by a committee consisting of E. Herman Hespelt, chairman and editor, Irving A. Leonard, John T. Reid, John A. Crow [and] John E. Englekirk.</t>
        </is>
      </c>
      <c r="H838" t="inlineStr">
        <is>
          <t>No</t>
        </is>
      </c>
      <c r="I838" t="inlineStr">
        <is>
          <t>1</t>
        </is>
      </c>
      <c r="J838" t="inlineStr">
        <is>
          <t>No</t>
        </is>
      </c>
      <c r="K838" t="inlineStr">
        <is>
          <t>No</t>
        </is>
      </c>
      <c r="L838" t="inlineStr">
        <is>
          <t>0</t>
        </is>
      </c>
      <c r="M838" t="inlineStr">
        <is>
          <t>International Institute of Ibero-American Literature.</t>
        </is>
      </c>
      <c r="N838" t="inlineStr">
        <is>
          <t>New York, F.S. Crofts &amp; Company, 1946.</t>
        </is>
      </c>
      <c r="O838" t="inlineStr">
        <is>
          <t>1946</t>
        </is>
      </c>
      <c r="Q838" t="inlineStr">
        <is>
          <t>spa</t>
        </is>
      </c>
      <c r="R838" t="inlineStr">
        <is>
          <t>nyu</t>
        </is>
      </c>
      <c r="T838" t="inlineStr">
        <is>
          <t xml:space="preserve">PQ </t>
        </is>
      </c>
      <c r="U838" t="n">
        <v>1</v>
      </c>
      <c r="V838" t="n">
        <v>1</v>
      </c>
      <c r="W838" t="inlineStr">
        <is>
          <t>1998-09-25</t>
        </is>
      </c>
      <c r="X838" t="inlineStr">
        <is>
          <t>1998-09-25</t>
        </is>
      </c>
      <c r="Y838" t="inlineStr">
        <is>
          <t>1997-10-01</t>
        </is>
      </c>
      <c r="Z838" t="inlineStr">
        <is>
          <t>1997-10-01</t>
        </is>
      </c>
      <c r="AA838" t="n">
        <v>634</v>
      </c>
      <c r="AB838" t="n">
        <v>617</v>
      </c>
      <c r="AC838" t="n">
        <v>658</v>
      </c>
      <c r="AD838" t="n">
        <v>7</v>
      </c>
      <c r="AE838" t="n">
        <v>7</v>
      </c>
      <c r="AF838" t="n">
        <v>37</v>
      </c>
      <c r="AG838" t="n">
        <v>37</v>
      </c>
      <c r="AH838" t="n">
        <v>14</v>
      </c>
      <c r="AI838" t="n">
        <v>14</v>
      </c>
      <c r="AJ838" t="n">
        <v>7</v>
      </c>
      <c r="AK838" t="n">
        <v>7</v>
      </c>
      <c r="AL838" t="n">
        <v>17</v>
      </c>
      <c r="AM838" t="n">
        <v>17</v>
      </c>
      <c r="AN838" t="n">
        <v>6</v>
      </c>
      <c r="AO838" t="n">
        <v>6</v>
      </c>
      <c r="AP838" t="n">
        <v>0</v>
      </c>
      <c r="AQ838" t="n">
        <v>0</v>
      </c>
      <c r="AR838" t="inlineStr">
        <is>
          <t>No</t>
        </is>
      </c>
      <c r="AS838" t="inlineStr">
        <is>
          <t>Yes</t>
        </is>
      </c>
      <c r="AT838">
        <f>HYPERLINK("http://catalog.hathitrust.org/Record/001111727","HathiTrust Record")</f>
        <v/>
      </c>
      <c r="AU838">
        <f>HYPERLINK("https://creighton-primo.hosted.exlibrisgroup.com/primo-explore/search?tab=default_tab&amp;search_scope=EVERYTHING&amp;vid=01CRU&amp;lang=en_US&amp;offset=0&amp;query=any,contains,991002431309702656","Catalog Record")</f>
        <v/>
      </c>
      <c r="AV838">
        <f>HYPERLINK("http://www.worldcat.org/oclc/347193","WorldCat Record")</f>
        <v/>
      </c>
      <c r="AW838" t="inlineStr">
        <is>
          <t>548952:spa</t>
        </is>
      </c>
      <c r="AX838" t="inlineStr">
        <is>
          <t>347193</t>
        </is>
      </c>
      <c r="AY838" t="inlineStr">
        <is>
          <t>991002431309702656</t>
        </is>
      </c>
      <c r="AZ838" t="inlineStr">
        <is>
          <t>991002431309702656</t>
        </is>
      </c>
      <c r="BA838" t="inlineStr">
        <is>
          <t>2272350490002656</t>
        </is>
      </c>
      <c r="BB838" t="inlineStr">
        <is>
          <t>BOOK</t>
        </is>
      </c>
      <c r="BE838" t="inlineStr">
        <is>
          <t>32285003236741</t>
        </is>
      </c>
      <c r="BF838" t="inlineStr">
        <is>
          <t>893257283</t>
        </is>
      </c>
    </row>
    <row r="839">
      <c r="A839" t="inlineStr">
        <is>
          <t>No</t>
        </is>
      </c>
      <c r="B839" t="inlineStr">
        <is>
          <t>CURAL</t>
        </is>
      </c>
      <c r="C839" t="inlineStr">
        <is>
          <t>SHELVES</t>
        </is>
      </c>
      <c r="D839" t="inlineStr">
        <is>
          <t>PQ7084 .A4865 1987</t>
        </is>
      </c>
      <c r="E839" t="inlineStr">
        <is>
          <t>0                      PQ 7084000A  4865        1987</t>
        </is>
      </c>
      <c r="F839" t="inlineStr">
        <is>
          <t>Antología de la poesía hispanoamericana actual / selección, prólogo y notas de Julio Ortega.</t>
        </is>
      </c>
      <c r="H839" t="inlineStr">
        <is>
          <t>No</t>
        </is>
      </c>
      <c r="I839" t="inlineStr">
        <is>
          <t>1</t>
        </is>
      </c>
      <c r="J839" t="inlineStr">
        <is>
          <t>No</t>
        </is>
      </c>
      <c r="K839" t="inlineStr">
        <is>
          <t>No</t>
        </is>
      </c>
      <c r="L839" t="inlineStr">
        <is>
          <t>0</t>
        </is>
      </c>
      <c r="N839" t="inlineStr">
        <is>
          <t>México, D.F. : Siglo Veintiuno Editores, 1987.</t>
        </is>
      </c>
      <c r="O839" t="inlineStr">
        <is>
          <t>1987</t>
        </is>
      </c>
      <c r="P839" t="inlineStr">
        <is>
          <t>1. ed.</t>
        </is>
      </c>
      <c r="Q839" t="inlineStr">
        <is>
          <t>spa</t>
        </is>
      </c>
      <c r="R839" t="inlineStr">
        <is>
          <t xml:space="preserve">mx </t>
        </is>
      </c>
      <c r="S839" t="inlineStr">
        <is>
          <t>La Creación literaria</t>
        </is>
      </c>
      <c r="T839" t="inlineStr">
        <is>
          <t xml:space="preserve">PQ </t>
        </is>
      </c>
      <c r="U839" t="n">
        <v>6</v>
      </c>
      <c r="V839" t="n">
        <v>6</v>
      </c>
      <c r="W839" t="inlineStr">
        <is>
          <t>1998-02-16</t>
        </is>
      </c>
      <c r="X839" t="inlineStr">
        <is>
          <t>1998-02-16</t>
        </is>
      </c>
      <c r="Y839" t="inlineStr">
        <is>
          <t>1992-11-12</t>
        </is>
      </c>
      <c r="Z839" t="inlineStr">
        <is>
          <t>1992-11-12</t>
        </is>
      </c>
      <c r="AA839" t="n">
        <v>256</v>
      </c>
      <c r="AB839" t="n">
        <v>221</v>
      </c>
      <c r="AC839" t="n">
        <v>259</v>
      </c>
      <c r="AD839" t="n">
        <v>2</v>
      </c>
      <c r="AE839" t="n">
        <v>2</v>
      </c>
      <c r="AF839" t="n">
        <v>12</v>
      </c>
      <c r="AG839" t="n">
        <v>13</v>
      </c>
      <c r="AH839" t="n">
        <v>3</v>
      </c>
      <c r="AI839" t="n">
        <v>3</v>
      </c>
      <c r="AJ839" t="n">
        <v>2</v>
      </c>
      <c r="AK839" t="n">
        <v>3</v>
      </c>
      <c r="AL839" t="n">
        <v>8</v>
      </c>
      <c r="AM839" t="n">
        <v>8</v>
      </c>
      <c r="AN839" t="n">
        <v>1</v>
      </c>
      <c r="AO839" t="n">
        <v>1</v>
      </c>
      <c r="AP839" t="n">
        <v>0</v>
      </c>
      <c r="AQ839" t="n">
        <v>0</v>
      </c>
      <c r="AR839" t="inlineStr">
        <is>
          <t>No</t>
        </is>
      </c>
      <c r="AS839" t="inlineStr">
        <is>
          <t>No</t>
        </is>
      </c>
      <c r="AU839">
        <f>HYPERLINK("https://creighton-primo.hosted.exlibrisgroup.com/primo-explore/search?tab=default_tab&amp;search_scope=EVERYTHING&amp;vid=01CRU&amp;lang=en_US&amp;offset=0&amp;query=any,contains,991001156459702656","Catalog Record")</f>
        <v/>
      </c>
      <c r="AV839">
        <f>HYPERLINK("http://www.worldcat.org/oclc/16861599","WorldCat Record")</f>
        <v/>
      </c>
      <c r="AW839" t="inlineStr">
        <is>
          <t>56132690:spa</t>
        </is>
      </c>
      <c r="AX839" t="inlineStr">
        <is>
          <t>16861599</t>
        </is>
      </c>
      <c r="AY839" t="inlineStr">
        <is>
          <t>991001156459702656</t>
        </is>
      </c>
      <c r="AZ839" t="inlineStr">
        <is>
          <t>991001156459702656</t>
        </is>
      </c>
      <c r="BA839" t="inlineStr">
        <is>
          <t>2270289370002656</t>
        </is>
      </c>
      <c r="BB839" t="inlineStr">
        <is>
          <t>BOOK</t>
        </is>
      </c>
      <c r="BD839" t="inlineStr">
        <is>
          <t>9789682314032</t>
        </is>
      </c>
      <c r="BE839" t="inlineStr">
        <is>
          <t>32285001361962</t>
        </is>
      </c>
      <c r="BF839" t="inlineStr">
        <is>
          <t>893407900</t>
        </is>
      </c>
    </row>
    <row r="840">
      <c r="A840" t="inlineStr">
        <is>
          <t>No</t>
        </is>
      </c>
      <c r="B840" t="inlineStr">
        <is>
          <t>CURAL</t>
        </is>
      </c>
      <c r="C840" t="inlineStr">
        <is>
          <t>SHELVES</t>
        </is>
      </c>
      <c r="D840" t="inlineStr">
        <is>
          <t>PQ7084 .A58 1983</t>
        </is>
      </c>
      <c r="E840" t="inlineStr">
        <is>
          <t>0                      PQ 7084000A  58          1983</t>
        </is>
      </c>
      <c r="F840" t="inlineStr">
        <is>
          <t>Antología de la rosa / Antonio M. Diaz.</t>
        </is>
      </c>
      <c r="H840" t="inlineStr">
        <is>
          <t>No</t>
        </is>
      </c>
      <c r="I840" t="inlineStr">
        <is>
          <t>1</t>
        </is>
      </c>
      <c r="J840" t="inlineStr">
        <is>
          <t>No</t>
        </is>
      </c>
      <c r="K840" t="inlineStr">
        <is>
          <t>No</t>
        </is>
      </c>
      <c r="L840" t="inlineStr">
        <is>
          <t>0</t>
        </is>
      </c>
      <c r="N840" t="inlineStr">
        <is>
          <t>Mérida, Venezuela : [s.n.], 1983.</t>
        </is>
      </c>
      <c r="O840" t="inlineStr">
        <is>
          <t>1983</t>
        </is>
      </c>
      <c r="Q840" t="inlineStr">
        <is>
          <t>spa</t>
        </is>
      </c>
      <c r="R840" t="inlineStr">
        <is>
          <t xml:space="preserve">ve </t>
        </is>
      </c>
      <c r="T840" t="inlineStr">
        <is>
          <t xml:space="preserve">PQ </t>
        </is>
      </c>
      <c r="U840" t="n">
        <v>1</v>
      </c>
      <c r="V840" t="n">
        <v>1</v>
      </c>
      <c r="W840" t="inlineStr">
        <is>
          <t>2003-01-21</t>
        </is>
      </c>
      <c r="X840" t="inlineStr">
        <is>
          <t>2003-01-21</t>
        </is>
      </c>
      <c r="Y840" t="inlineStr">
        <is>
          <t>2003-01-14</t>
        </is>
      </c>
      <c r="Z840" t="inlineStr">
        <is>
          <t>2003-01-14</t>
        </is>
      </c>
      <c r="AA840" t="n">
        <v>1</v>
      </c>
      <c r="AB840" t="n">
        <v>1</v>
      </c>
      <c r="AC840" t="n">
        <v>1</v>
      </c>
      <c r="AD840" t="n">
        <v>1</v>
      </c>
      <c r="AE840" t="n">
        <v>1</v>
      </c>
      <c r="AF840" t="n">
        <v>0</v>
      </c>
      <c r="AG840" t="n">
        <v>0</v>
      </c>
      <c r="AH840" t="n">
        <v>0</v>
      </c>
      <c r="AI840" t="n">
        <v>0</v>
      </c>
      <c r="AJ840" t="n">
        <v>0</v>
      </c>
      <c r="AK840" t="n">
        <v>0</v>
      </c>
      <c r="AL840" t="n">
        <v>0</v>
      </c>
      <c r="AM840" t="n">
        <v>0</v>
      </c>
      <c r="AN840" t="n">
        <v>0</v>
      </c>
      <c r="AO840" t="n">
        <v>0</v>
      </c>
      <c r="AP840" t="n">
        <v>0</v>
      </c>
      <c r="AQ840" t="n">
        <v>0</v>
      </c>
      <c r="AR840" t="inlineStr">
        <is>
          <t>No</t>
        </is>
      </c>
      <c r="AS840" t="inlineStr">
        <is>
          <t>No</t>
        </is>
      </c>
      <c r="AU840">
        <f>HYPERLINK("https://creighton-primo.hosted.exlibrisgroup.com/primo-explore/search?tab=default_tab&amp;search_scope=EVERYTHING&amp;vid=01CRU&amp;lang=en_US&amp;offset=0&amp;query=any,contains,991003972149702656","Catalog Record")</f>
        <v/>
      </c>
      <c r="AV840">
        <f>HYPERLINK("http://www.worldcat.org/oclc/51337392","WorldCat Record")</f>
        <v/>
      </c>
      <c r="AW840" t="inlineStr">
        <is>
          <t>8382006:spa</t>
        </is>
      </c>
      <c r="AX840" t="inlineStr">
        <is>
          <t>51337392</t>
        </is>
      </c>
      <c r="AY840" t="inlineStr">
        <is>
          <t>991003972149702656</t>
        </is>
      </c>
      <c r="AZ840" t="inlineStr">
        <is>
          <t>991003972149702656</t>
        </is>
      </c>
      <c r="BA840" t="inlineStr">
        <is>
          <t>2257212180002656</t>
        </is>
      </c>
      <c r="BB840" t="inlineStr">
        <is>
          <t>BOOK</t>
        </is>
      </c>
      <c r="BE840" t="inlineStr">
        <is>
          <t>32285004631296</t>
        </is>
      </c>
      <c r="BF840" t="inlineStr">
        <is>
          <t>893705851</t>
        </is>
      </c>
    </row>
    <row r="841">
      <c r="A841" t="inlineStr">
        <is>
          <t>No</t>
        </is>
      </c>
      <c r="B841" t="inlineStr">
        <is>
          <t>CURAL</t>
        </is>
      </c>
      <c r="C841" t="inlineStr">
        <is>
          <t>SHELVES</t>
        </is>
      </c>
      <c r="D841" t="inlineStr">
        <is>
          <t>PQ7084 .B6 1929</t>
        </is>
      </c>
      <c r="E841" t="inlineStr">
        <is>
          <t>0                      PQ 7084000B  6           1929</t>
        </is>
      </c>
      <c r="F841" t="inlineStr">
        <is>
          <t>Some Spanish-American poets / translated by Alice Stone Blackwell ; with an introduction and notes by Isaac Goldberg.</t>
        </is>
      </c>
      <c r="H841" t="inlineStr">
        <is>
          <t>No</t>
        </is>
      </c>
      <c r="I841" t="inlineStr">
        <is>
          <t>1</t>
        </is>
      </c>
      <c r="J841" t="inlineStr">
        <is>
          <t>No</t>
        </is>
      </c>
      <c r="K841" t="inlineStr">
        <is>
          <t>No</t>
        </is>
      </c>
      <c r="L841" t="inlineStr">
        <is>
          <t>0</t>
        </is>
      </c>
      <c r="M841" t="inlineStr">
        <is>
          <t>Blackwell, Alice Stone, 1857-1950 translator.</t>
        </is>
      </c>
      <c r="N841" t="inlineStr">
        <is>
          <t>Philadelphia : University of Pennsylvania Press, c1929.</t>
        </is>
      </c>
      <c r="O841" t="inlineStr">
        <is>
          <t>1929</t>
        </is>
      </c>
      <c r="Q841" t="inlineStr">
        <is>
          <t>eng</t>
        </is>
      </c>
      <c r="R841" t="inlineStr">
        <is>
          <t>pau</t>
        </is>
      </c>
      <c r="T841" t="inlineStr">
        <is>
          <t xml:space="preserve">PQ </t>
        </is>
      </c>
      <c r="U841" t="n">
        <v>6</v>
      </c>
      <c r="V841" t="n">
        <v>6</v>
      </c>
      <c r="W841" t="inlineStr">
        <is>
          <t>1994-11-13</t>
        </is>
      </c>
      <c r="X841" t="inlineStr">
        <is>
          <t>1994-11-13</t>
        </is>
      </c>
      <c r="Y841" t="inlineStr">
        <is>
          <t>1994-06-30</t>
        </is>
      </c>
      <c r="Z841" t="inlineStr">
        <is>
          <t>1994-06-30</t>
        </is>
      </c>
      <c r="AA841" t="n">
        <v>35</v>
      </c>
      <c r="AB841" t="n">
        <v>31</v>
      </c>
      <c r="AC841" t="n">
        <v>909</v>
      </c>
      <c r="AD841" t="n">
        <v>1</v>
      </c>
      <c r="AE841" t="n">
        <v>6</v>
      </c>
      <c r="AF841" t="n">
        <v>2</v>
      </c>
      <c r="AG841" t="n">
        <v>42</v>
      </c>
      <c r="AH841" t="n">
        <v>0</v>
      </c>
      <c r="AI841" t="n">
        <v>19</v>
      </c>
      <c r="AJ841" t="n">
        <v>1</v>
      </c>
      <c r="AK841" t="n">
        <v>11</v>
      </c>
      <c r="AL841" t="n">
        <v>1</v>
      </c>
      <c r="AM841" t="n">
        <v>16</v>
      </c>
      <c r="AN841" t="n">
        <v>0</v>
      </c>
      <c r="AO841" t="n">
        <v>4</v>
      </c>
      <c r="AP841" t="n">
        <v>0</v>
      </c>
      <c r="AQ841" t="n">
        <v>0</v>
      </c>
      <c r="AR841" t="inlineStr">
        <is>
          <t>No</t>
        </is>
      </c>
      <c r="AS841" t="inlineStr">
        <is>
          <t>Yes</t>
        </is>
      </c>
      <c r="AT841">
        <f>HYPERLINK("http://catalog.hathitrust.org/Record/009508958","HathiTrust Record")</f>
        <v/>
      </c>
      <c r="AU841">
        <f>HYPERLINK("https://creighton-primo.hosted.exlibrisgroup.com/primo-explore/search?tab=default_tab&amp;search_scope=EVERYTHING&amp;vid=01CRU&amp;lang=en_US&amp;offset=0&amp;query=any,contains,991004618209702656","Catalog Record")</f>
        <v/>
      </c>
      <c r="AV841">
        <f>HYPERLINK("http://www.worldcat.org/oclc/4275069","WorldCat Record")</f>
        <v/>
      </c>
      <c r="AW841" t="inlineStr">
        <is>
          <t>484379:eng</t>
        </is>
      </c>
      <c r="AX841" t="inlineStr">
        <is>
          <t>4275069</t>
        </is>
      </c>
      <c r="AY841" t="inlineStr">
        <is>
          <t>991004618209702656</t>
        </is>
      </c>
      <c r="AZ841" t="inlineStr">
        <is>
          <t>991004618209702656</t>
        </is>
      </c>
      <c r="BA841" t="inlineStr">
        <is>
          <t>2255040260002656</t>
        </is>
      </c>
      <c r="BB841" t="inlineStr">
        <is>
          <t>BOOK</t>
        </is>
      </c>
      <c r="BE841" t="inlineStr">
        <is>
          <t>32285001935799</t>
        </is>
      </c>
      <c r="BF841" t="inlineStr">
        <is>
          <t>893712818</t>
        </is>
      </c>
    </row>
    <row r="842">
      <c r="A842" t="inlineStr">
        <is>
          <t>No</t>
        </is>
      </c>
      <c r="B842" t="inlineStr">
        <is>
          <t>CURAL</t>
        </is>
      </c>
      <c r="C842" t="inlineStr">
        <is>
          <t>SHELVES</t>
        </is>
      </c>
      <c r="D842" t="inlineStr">
        <is>
          <t>PQ7084 .C54 2000</t>
        </is>
      </c>
      <c r="E842" t="inlineStr">
        <is>
          <t>0                      PQ 7084000C  54          2000</t>
        </is>
      </c>
      <c r="F842" t="inlineStr">
        <is>
          <t>Los cien grandes poemas de España y America / Julio Ortega, comp.</t>
        </is>
      </c>
      <c r="H842" t="inlineStr">
        <is>
          <t>No</t>
        </is>
      </c>
      <c r="I842" t="inlineStr">
        <is>
          <t>1</t>
        </is>
      </c>
      <c r="J842" t="inlineStr">
        <is>
          <t>No</t>
        </is>
      </c>
      <c r="K842" t="inlineStr">
        <is>
          <t>No</t>
        </is>
      </c>
      <c r="L842" t="inlineStr">
        <is>
          <t>0</t>
        </is>
      </c>
      <c r="N842" t="inlineStr">
        <is>
          <t>México, D.F. : Siglo XXI ; Madrid : Siglo veintiuno de españa, 2000.</t>
        </is>
      </c>
      <c r="O842" t="inlineStr">
        <is>
          <t>2000</t>
        </is>
      </c>
      <c r="Q842" t="inlineStr">
        <is>
          <t>spa</t>
        </is>
      </c>
      <c r="R842" t="inlineStr">
        <is>
          <t xml:space="preserve">mx </t>
        </is>
      </c>
      <c r="T842" t="inlineStr">
        <is>
          <t xml:space="preserve">PQ </t>
        </is>
      </c>
      <c r="U842" t="n">
        <v>1</v>
      </c>
      <c r="V842" t="n">
        <v>1</v>
      </c>
      <c r="W842" t="inlineStr">
        <is>
          <t>2002-01-30</t>
        </is>
      </c>
      <c r="X842" t="inlineStr">
        <is>
          <t>2002-01-30</t>
        </is>
      </c>
      <c r="Y842" t="inlineStr">
        <is>
          <t>2002-01-30</t>
        </is>
      </c>
      <c r="Z842" t="inlineStr">
        <is>
          <t>2002-01-30</t>
        </is>
      </c>
      <c r="AA842" t="n">
        <v>106</v>
      </c>
      <c r="AB842" t="n">
        <v>96</v>
      </c>
      <c r="AC842" t="n">
        <v>103</v>
      </c>
      <c r="AD842" t="n">
        <v>1</v>
      </c>
      <c r="AE842" t="n">
        <v>1</v>
      </c>
      <c r="AF842" t="n">
        <v>3</v>
      </c>
      <c r="AG842" t="n">
        <v>3</v>
      </c>
      <c r="AH842" t="n">
        <v>2</v>
      </c>
      <c r="AI842" t="n">
        <v>2</v>
      </c>
      <c r="AJ842" t="n">
        <v>1</v>
      </c>
      <c r="AK842" t="n">
        <v>1</v>
      </c>
      <c r="AL842" t="n">
        <v>3</v>
      </c>
      <c r="AM842" t="n">
        <v>3</v>
      </c>
      <c r="AN842" t="n">
        <v>0</v>
      </c>
      <c r="AO842" t="n">
        <v>0</v>
      </c>
      <c r="AP842" t="n">
        <v>0</v>
      </c>
      <c r="AQ842" t="n">
        <v>0</v>
      </c>
      <c r="AR842" t="inlineStr">
        <is>
          <t>No</t>
        </is>
      </c>
      <c r="AS842" t="inlineStr">
        <is>
          <t>Yes</t>
        </is>
      </c>
      <c r="AT842">
        <f>HYPERLINK("http://catalog.hathitrust.org/Record/004131711","HathiTrust Record")</f>
        <v/>
      </c>
      <c r="AU842">
        <f>HYPERLINK("https://creighton-primo.hosted.exlibrisgroup.com/primo-explore/search?tab=default_tab&amp;search_scope=EVERYTHING&amp;vid=01CRU&amp;lang=en_US&amp;offset=0&amp;query=any,contains,991003721069702656","Catalog Record")</f>
        <v/>
      </c>
      <c r="AV842">
        <f>HYPERLINK("http://www.worldcat.org/oclc/44727286","WorldCat Record")</f>
        <v/>
      </c>
      <c r="AW842" t="inlineStr">
        <is>
          <t>34404958:spa</t>
        </is>
      </c>
      <c r="AX842" t="inlineStr">
        <is>
          <t>44727286</t>
        </is>
      </c>
      <c r="AY842" t="inlineStr">
        <is>
          <t>991003721069702656</t>
        </is>
      </c>
      <c r="AZ842" t="inlineStr">
        <is>
          <t>991003721069702656</t>
        </is>
      </c>
      <c r="BA842" t="inlineStr">
        <is>
          <t>2255590230002656</t>
        </is>
      </c>
      <c r="BB842" t="inlineStr">
        <is>
          <t>BOOK</t>
        </is>
      </c>
      <c r="BD842" t="inlineStr">
        <is>
          <t>9789682322136</t>
        </is>
      </c>
      <c r="BE842" t="inlineStr">
        <is>
          <t>32285004451570</t>
        </is>
      </c>
      <c r="BF842" t="inlineStr">
        <is>
          <t>893336846</t>
        </is>
      </c>
    </row>
    <row r="843">
      <c r="A843" t="inlineStr">
        <is>
          <t>No</t>
        </is>
      </c>
      <c r="B843" t="inlineStr">
        <is>
          <t>CURAL</t>
        </is>
      </c>
      <c r="C843" t="inlineStr">
        <is>
          <t>SHELVES</t>
        </is>
      </c>
      <c r="D843" t="inlineStr">
        <is>
          <t>PQ7084 .C58</t>
        </is>
      </c>
      <c r="E843" t="inlineStr">
        <is>
          <t>0                      PQ 7084000C  58</t>
        </is>
      </c>
      <c r="F843" t="inlineStr">
        <is>
          <t>An anthology of the modernista movement in Spanish America / compiled and edited by Alfred Coester.</t>
        </is>
      </c>
      <c r="H843" t="inlineStr">
        <is>
          <t>No</t>
        </is>
      </c>
      <c r="I843" t="inlineStr">
        <is>
          <t>1</t>
        </is>
      </c>
      <c r="J843" t="inlineStr">
        <is>
          <t>No</t>
        </is>
      </c>
      <c r="K843" t="inlineStr">
        <is>
          <t>No</t>
        </is>
      </c>
      <c r="L843" t="inlineStr">
        <is>
          <t>0</t>
        </is>
      </c>
      <c r="M843" t="inlineStr">
        <is>
          <t>Coester, Alfred, 1874-1958 compiler.</t>
        </is>
      </c>
      <c r="N843" t="inlineStr">
        <is>
          <t>Boston, New York [etc.] Ginn and Company [c1924]</t>
        </is>
      </c>
      <c r="O843" t="inlineStr">
        <is>
          <t>1924</t>
        </is>
      </c>
      <c r="Q843" t="inlineStr">
        <is>
          <t>spa</t>
        </is>
      </c>
      <c r="R843" t="inlineStr">
        <is>
          <t>mau</t>
        </is>
      </c>
      <c r="T843" t="inlineStr">
        <is>
          <t xml:space="preserve">PQ </t>
        </is>
      </c>
      <c r="U843" t="n">
        <v>1</v>
      </c>
      <c r="V843" t="n">
        <v>1</v>
      </c>
      <c r="W843" t="inlineStr">
        <is>
          <t>2002-04-23</t>
        </is>
      </c>
      <c r="X843" t="inlineStr">
        <is>
          <t>2002-04-23</t>
        </is>
      </c>
      <c r="Y843" t="inlineStr">
        <is>
          <t>1998-03-20</t>
        </is>
      </c>
      <c r="Z843" t="inlineStr">
        <is>
          <t>1998-03-20</t>
        </is>
      </c>
      <c r="AA843" t="n">
        <v>321</v>
      </c>
      <c r="AB843" t="n">
        <v>302</v>
      </c>
      <c r="AC843" t="n">
        <v>307</v>
      </c>
      <c r="AD843" t="n">
        <v>3</v>
      </c>
      <c r="AE843" t="n">
        <v>3</v>
      </c>
      <c r="AF843" t="n">
        <v>19</v>
      </c>
      <c r="AG843" t="n">
        <v>19</v>
      </c>
      <c r="AH843" t="n">
        <v>6</v>
      </c>
      <c r="AI843" t="n">
        <v>6</v>
      </c>
      <c r="AJ843" t="n">
        <v>5</v>
      </c>
      <c r="AK843" t="n">
        <v>5</v>
      </c>
      <c r="AL843" t="n">
        <v>10</v>
      </c>
      <c r="AM843" t="n">
        <v>10</v>
      </c>
      <c r="AN843" t="n">
        <v>2</v>
      </c>
      <c r="AO843" t="n">
        <v>2</v>
      </c>
      <c r="AP843" t="n">
        <v>0</v>
      </c>
      <c r="AQ843" t="n">
        <v>0</v>
      </c>
      <c r="AR843" t="inlineStr">
        <is>
          <t>Yes</t>
        </is>
      </c>
      <c r="AS843" t="inlineStr">
        <is>
          <t>No</t>
        </is>
      </c>
      <c r="AT843">
        <f>HYPERLINK("http://catalog.hathitrust.org/Record/101387735","HathiTrust Record")</f>
        <v/>
      </c>
      <c r="AU843">
        <f>HYPERLINK("https://creighton-primo.hosted.exlibrisgroup.com/primo-explore/search?tab=default_tab&amp;search_scope=EVERYTHING&amp;vid=01CRU&amp;lang=en_US&amp;offset=0&amp;query=any,contains,991003574719702656","Catalog Record")</f>
        <v/>
      </c>
      <c r="AV843">
        <f>HYPERLINK("http://www.worldcat.org/oclc/1151736","WorldCat Record")</f>
        <v/>
      </c>
      <c r="AW843" t="inlineStr">
        <is>
          <t>1302229:spa</t>
        </is>
      </c>
      <c r="AX843" t="inlineStr">
        <is>
          <t>1151736</t>
        </is>
      </c>
      <c r="AY843" t="inlineStr">
        <is>
          <t>991003574719702656</t>
        </is>
      </c>
      <c r="AZ843" t="inlineStr">
        <is>
          <t>991003574719702656</t>
        </is>
      </c>
      <c r="BA843" t="inlineStr">
        <is>
          <t>2268024340002656</t>
        </is>
      </c>
      <c r="BB843" t="inlineStr">
        <is>
          <t>BOOK</t>
        </is>
      </c>
      <c r="BE843" t="inlineStr">
        <is>
          <t>32285003365003</t>
        </is>
      </c>
      <c r="BF843" t="inlineStr">
        <is>
          <t>893617481</t>
        </is>
      </c>
    </row>
    <row r="844">
      <c r="A844" t="inlineStr">
        <is>
          <t>No</t>
        </is>
      </c>
      <c r="B844" t="inlineStr">
        <is>
          <t>CURAL</t>
        </is>
      </c>
      <c r="C844" t="inlineStr">
        <is>
          <t>SHELVES</t>
        </is>
      </c>
      <c r="D844" t="inlineStr">
        <is>
          <t>PQ7084 .C745O5</t>
        </is>
      </c>
      <c r="E844" t="inlineStr">
        <is>
          <t>0                      PQ 7084000C  745                O  5</t>
        </is>
      </c>
      <c r="F844" t="inlineStr">
        <is>
          <t>Once grandes poetisas américohispanas / [por] Carmen Conde. --</t>
        </is>
      </c>
      <c r="H844" t="inlineStr">
        <is>
          <t>No</t>
        </is>
      </c>
      <c r="I844" t="inlineStr">
        <is>
          <t>1</t>
        </is>
      </c>
      <c r="J844" t="inlineStr">
        <is>
          <t>No</t>
        </is>
      </c>
      <c r="K844" t="inlineStr">
        <is>
          <t>No</t>
        </is>
      </c>
      <c r="L844" t="inlineStr">
        <is>
          <t>0</t>
        </is>
      </c>
      <c r="M844" t="inlineStr">
        <is>
          <t>Conde, Carmen, 1907-1996, compiler.</t>
        </is>
      </c>
      <c r="N844" t="inlineStr">
        <is>
          <t>Madrid : Ediciones Cultura Hispanica, 1967.</t>
        </is>
      </c>
      <c r="O844" t="inlineStr">
        <is>
          <t>1967</t>
        </is>
      </c>
      <c r="Q844" t="inlineStr">
        <is>
          <t>spa</t>
        </is>
      </c>
      <c r="R844" t="inlineStr">
        <is>
          <t xml:space="preserve">sp </t>
        </is>
      </c>
      <c r="S844" t="inlineStr">
        <is>
          <t>La Encina y el mar, Colección Poesía de España y América, 34</t>
        </is>
      </c>
      <c r="T844" t="inlineStr">
        <is>
          <t xml:space="preserve">PQ </t>
        </is>
      </c>
      <c r="U844" t="n">
        <v>4</v>
      </c>
      <c r="V844" t="n">
        <v>4</v>
      </c>
      <c r="W844" t="inlineStr">
        <is>
          <t>1998-03-22</t>
        </is>
      </c>
      <c r="X844" t="inlineStr">
        <is>
          <t>1998-03-22</t>
        </is>
      </c>
      <c r="Y844" t="inlineStr">
        <is>
          <t>1991-08-12</t>
        </is>
      </c>
      <c r="Z844" t="inlineStr">
        <is>
          <t>1991-08-12</t>
        </is>
      </c>
      <c r="AA844" t="n">
        <v>218</v>
      </c>
      <c r="AB844" t="n">
        <v>184</v>
      </c>
      <c r="AC844" t="n">
        <v>186</v>
      </c>
      <c r="AD844" t="n">
        <v>2</v>
      </c>
      <c r="AE844" t="n">
        <v>2</v>
      </c>
      <c r="AF844" t="n">
        <v>9</v>
      </c>
      <c r="AG844" t="n">
        <v>9</v>
      </c>
      <c r="AH844" t="n">
        <v>2</v>
      </c>
      <c r="AI844" t="n">
        <v>2</v>
      </c>
      <c r="AJ844" t="n">
        <v>4</v>
      </c>
      <c r="AK844" t="n">
        <v>4</v>
      </c>
      <c r="AL844" t="n">
        <v>2</v>
      </c>
      <c r="AM844" t="n">
        <v>2</v>
      </c>
      <c r="AN844" t="n">
        <v>1</v>
      </c>
      <c r="AO844" t="n">
        <v>1</v>
      </c>
      <c r="AP844" t="n">
        <v>0</v>
      </c>
      <c r="AQ844" t="n">
        <v>0</v>
      </c>
      <c r="AR844" t="inlineStr">
        <is>
          <t>No</t>
        </is>
      </c>
      <c r="AS844" t="inlineStr">
        <is>
          <t>Yes</t>
        </is>
      </c>
      <c r="AT844">
        <f>HYPERLINK("http://catalog.hathitrust.org/Record/001220703","HathiTrust Record")</f>
        <v/>
      </c>
      <c r="AU844">
        <f>HYPERLINK("https://creighton-primo.hosted.exlibrisgroup.com/primo-explore/search?tab=default_tab&amp;search_scope=EVERYTHING&amp;vid=01CRU&amp;lang=en_US&amp;offset=0&amp;query=any,contains,991002333769702656","Catalog Record")</f>
        <v/>
      </c>
      <c r="AV844">
        <f>HYPERLINK("http://www.worldcat.org/oclc/322685","WorldCat Record")</f>
        <v/>
      </c>
      <c r="AW844" t="inlineStr">
        <is>
          <t>1405023:spa</t>
        </is>
      </c>
      <c r="AX844" t="inlineStr">
        <is>
          <t>322685</t>
        </is>
      </c>
      <c r="AY844" t="inlineStr">
        <is>
          <t>991002333769702656</t>
        </is>
      </c>
      <c r="AZ844" t="inlineStr">
        <is>
          <t>991002333769702656</t>
        </is>
      </c>
      <c r="BA844" t="inlineStr">
        <is>
          <t>2257094500002656</t>
        </is>
      </c>
      <c r="BB844" t="inlineStr">
        <is>
          <t>BOOK</t>
        </is>
      </c>
      <c r="BE844" t="inlineStr">
        <is>
          <t>32285000682509</t>
        </is>
      </c>
      <c r="BF844" t="inlineStr">
        <is>
          <t>893421221</t>
        </is>
      </c>
    </row>
    <row r="845">
      <c r="A845" t="inlineStr">
        <is>
          <t>No</t>
        </is>
      </c>
      <c r="B845" t="inlineStr">
        <is>
          <t>CURAL</t>
        </is>
      </c>
      <c r="C845" t="inlineStr">
        <is>
          <t>SHELVES</t>
        </is>
      </c>
      <c r="D845" t="inlineStr">
        <is>
          <t>PQ7084 .M77 1985</t>
        </is>
      </c>
      <c r="E845" t="inlineStr">
        <is>
          <t>0                      PQ 7084000M  77          1985</t>
        </is>
      </c>
      <c r="F845" t="inlineStr">
        <is>
          <t>Muestra de poesía hispanoamericana del siglo XX / [compilada por] José Antonio Escalona-Escalona ; investigación, estudio, selección, prólogo, bibliografía e índices por el autor de la misma, a la que complementan veintiséis notas valorativas e informativas de igual número de escritores de hispanoamérica.</t>
        </is>
      </c>
      <c r="G845" t="inlineStr">
        <is>
          <t>V. 1</t>
        </is>
      </c>
      <c r="H845" t="inlineStr">
        <is>
          <t>Yes</t>
        </is>
      </c>
      <c r="I845" t="inlineStr">
        <is>
          <t>1</t>
        </is>
      </c>
      <c r="J845" t="inlineStr">
        <is>
          <t>No</t>
        </is>
      </c>
      <c r="K845" t="inlineStr">
        <is>
          <t>No</t>
        </is>
      </c>
      <c r="L845" t="inlineStr">
        <is>
          <t>0</t>
        </is>
      </c>
      <c r="N845" t="inlineStr">
        <is>
          <t>Caracas, Venezuela : Biblioteca Ayacucho, [1985]</t>
        </is>
      </c>
      <c r="O845" t="inlineStr">
        <is>
          <t>1985</t>
        </is>
      </c>
      <c r="Q845" t="inlineStr">
        <is>
          <t>spa</t>
        </is>
      </c>
      <c r="R845" t="inlineStr">
        <is>
          <t xml:space="preserve">ve </t>
        </is>
      </c>
      <c r="T845" t="inlineStr">
        <is>
          <t xml:space="preserve">PQ </t>
        </is>
      </c>
      <c r="U845" t="n">
        <v>1</v>
      </c>
      <c r="V845" t="n">
        <v>1</v>
      </c>
      <c r="W845" t="inlineStr">
        <is>
          <t>2002-06-03</t>
        </is>
      </c>
      <c r="X845" t="inlineStr">
        <is>
          <t>2002-06-03</t>
        </is>
      </c>
      <c r="Y845" t="inlineStr">
        <is>
          <t>2002-05-23</t>
        </is>
      </c>
      <c r="Z845" t="inlineStr">
        <is>
          <t>2002-05-23</t>
        </is>
      </c>
      <c r="AA845" t="n">
        <v>75</v>
      </c>
      <c r="AB845" t="n">
        <v>62</v>
      </c>
      <c r="AC845" t="n">
        <v>65</v>
      </c>
      <c r="AD845" t="n">
        <v>2</v>
      </c>
      <c r="AE845" t="n">
        <v>2</v>
      </c>
      <c r="AF845" t="n">
        <v>2</v>
      </c>
      <c r="AG845" t="n">
        <v>2</v>
      </c>
      <c r="AH845" t="n">
        <v>0</v>
      </c>
      <c r="AI845" t="n">
        <v>0</v>
      </c>
      <c r="AJ845" t="n">
        <v>0</v>
      </c>
      <c r="AK845" t="n">
        <v>0</v>
      </c>
      <c r="AL845" t="n">
        <v>1</v>
      </c>
      <c r="AM845" t="n">
        <v>1</v>
      </c>
      <c r="AN845" t="n">
        <v>1</v>
      </c>
      <c r="AO845" t="n">
        <v>1</v>
      </c>
      <c r="AP845" t="n">
        <v>0</v>
      </c>
      <c r="AQ845" t="n">
        <v>0</v>
      </c>
      <c r="AR845" t="inlineStr">
        <is>
          <t>No</t>
        </is>
      </c>
      <c r="AS845" t="inlineStr">
        <is>
          <t>Yes</t>
        </is>
      </c>
      <c r="AT845">
        <f>HYPERLINK("http://catalog.hathitrust.org/Record/101096194","HathiTrust Record")</f>
        <v/>
      </c>
      <c r="AU845">
        <f>HYPERLINK("https://creighton-primo.hosted.exlibrisgroup.com/primo-explore/search?tab=default_tab&amp;search_scope=EVERYTHING&amp;vid=01CRU&amp;lang=en_US&amp;offset=0&amp;query=any,contains,991003813649702656","Catalog Record")</f>
        <v/>
      </c>
      <c r="AV845">
        <f>HYPERLINK("http://www.worldcat.org/oclc/15136064","WorldCat Record")</f>
        <v/>
      </c>
      <c r="AW845" t="inlineStr">
        <is>
          <t>10677801907:spa</t>
        </is>
      </c>
      <c r="AX845" t="inlineStr">
        <is>
          <t>15136064</t>
        </is>
      </c>
      <c r="AY845" t="inlineStr">
        <is>
          <t>991003813649702656</t>
        </is>
      </c>
      <c r="AZ845" t="inlineStr">
        <is>
          <t>991003813649702656</t>
        </is>
      </c>
      <c r="BA845" t="inlineStr">
        <is>
          <t>2263888720002656</t>
        </is>
      </c>
      <c r="BB845" t="inlineStr">
        <is>
          <t>BOOK</t>
        </is>
      </c>
      <c r="BE845" t="inlineStr">
        <is>
          <t>32285004490073</t>
        </is>
      </c>
      <c r="BF845" t="inlineStr">
        <is>
          <t>893531616</t>
        </is>
      </c>
    </row>
    <row r="846">
      <c r="A846" t="inlineStr">
        <is>
          <t>No</t>
        </is>
      </c>
      <c r="B846" t="inlineStr">
        <is>
          <t>CURAL</t>
        </is>
      </c>
      <c r="C846" t="inlineStr">
        <is>
          <t>SHELVES</t>
        </is>
      </c>
      <c r="D846" t="inlineStr">
        <is>
          <t>PQ7084 .P545 1979</t>
        </is>
      </c>
      <c r="E846" t="inlineStr">
        <is>
          <t>0                      PQ 7084000P  545         1979</t>
        </is>
      </c>
      <c r="F846" t="inlineStr">
        <is>
          <t>Poesía de la Independencia / compilación, prólogo, notas y cronología, Emilio Carilla ; [traducciones, Ida Vitale].</t>
        </is>
      </c>
      <c r="H846" t="inlineStr">
        <is>
          <t>No</t>
        </is>
      </c>
      <c r="I846" t="inlineStr">
        <is>
          <t>1</t>
        </is>
      </c>
      <c r="J846" t="inlineStr">
        <is>
          <t>No</t>
        </is>
      </c>
      <c r="K846" t="inlineStr">
        <is>
          <t>No</t>
        </is>
      </c>
      <c r="L846" t="inlineStr">
        <is>
          <t>0</t>
        </is>
      </c>
      <c r="N846" t="inlineStr">
        <is>
          <t>Caracas, Venezuela : Biblioteca Ayacucho, [1979]</t>
        </is>
      </c>
      <c r="O846" t="inlineStr">
        <is>
          <t>1979</t>
        </is>
      </c>
      <c r="Q846" t="inlineStr">
        <is>
          <t>spa</t>
        </is>
      </c>
      <c r="R846" t="inlineStr">
        <is>
          <t xml:space="preserve">ve </t>
        </is>
      </c>
      <c r="S846" t="inlineStr">
        <is>
          <t>Biblioteca Ayacucho ; 59</t>
        </is>
      </c>
      <c r="T846" t="inlineStr">
        <is>
          <t xml:space="preserve">PQ </t>
        </is>
      </c>
      <c r="U846" t="n">
        <v>2</v>
      </c>
      <c r="V846" t="n">
        <v>2</v>
      </c>
      <c r="W846" t="inlineStr">
        <is>
          <t>2001-11-19</t>
        </is>
      </c>
      <c r="X846" t="inlineStr">
        <is>
          <t>2001-11-19</t>
        </is>
      </c>
      <c r="Y846" t="inlineStr">
        <is>
          <t>2001-11-19</t>
        </is>
      </c>
      <c r="Z846" t="inlineStr">
        <is>
          <t>2001-11-19</t>
        </is>
      </c>
      <c r="AA846" t="n">
        <v>160</v>
      </c>
      <c r="AB846" t="n">
        <v>115</v>
      </c>
      <c r="AC846" t="n">
        <v>134</v>
      </c>
      <c r="AD846" t="n">
        <v>2</v>
      </c>
      <c r="AE846" t="n">
        <v>2</v>
      </c>
      <c r="AF846" t="n">
        <v>8</v>
      </c>
      <c r="AG846" t="n">
        <v>8</v>
      </c>
      <c r="AH846" t="n">
        <v>1</v>
      </c>
      <c r="AI846" t="n">
        <v>1</v>
      </c>
      <c r="AJ846" t="n">
        <v>4</v>
      </c>
      <c r="AK846" t="n">
        <v>4</v>
      </c>
      <c r="AL846" t="n">
        <v>4</v>
      </c>
      <c r="AM846" t="n">
        <v>4</v>
      </c>
      <c r="AN846" t="n">
        <v>1</v>
      </c>
      <c r="AO846" t="n">
        <v>1</v>
      </c>
      <c r="AP846" t="n">
        <v>0</v>
      </c>
      <c r="AQ846" t="n">
        <v>0</v>
      </c>
      <c r="AR846" t="inlineStr">
        <is>
          <t>No</t>
        </is>
      </c>
      <c r="AS846" t="inlineStr">
        <is>
          <t>Yes</t>
        </is>
      </c>
      <c r="AT846">
        <f>HYPERLINK("http://catalog.hathitrust.org/Record/002193674","HathiTrust Record")</f>
        <v/>
      </c>
      <c r="AU846">
        <f>HYPERLINK("https://creighton-primo.hosted.exlibrisgroup.com/primo-explore/search?tab=default_tab&amp;search_scope=EVERYTHING&amp;vid=01CRU&amp;lang=en_US&amp;offset=0&amp;query=any,contains,991003681849702656","Catalog Record")</f>
        <v/>
      </c>
      <c r="AV846">
        <f>HYPERLINK("http://www.worldcat.org/oclc/7179193","WorldCat Record")</f>
        <v/>
      </c>
      <c r="AW846" t="inlineStr">
        <is>
          <t>53801822:spa</t>
        </is>
      </c>
      <c r="AX846" t="inlineStr">
        <is>
          <t>7179193</t>
        </is>
      </c>
      <c r="AY846" t="inlineStr">
        <is>
          <t>991003681849702656</t>
        </is>
      </c>
      <c r="AZ846" t="inlineStr">
        <is>
          <t>991003681849702656</t>
        </is>
      </c>
      <c r="BA846" t="inlineStr">
        <is>
          <t>2267190490002656</t>
        </is>
      </c>
      <c r="BB846" t="inlineStr">
        <is>
          <t>BOOK</t>
        </is>
      </c>
      <c r="BD846" t="inlineStr">
        <is>
          <t>9788466000208</t>
        </is>
      </c>
      <c r="BE846" t="inlineStr">
        <is>
          <t>32285004412424</t>
        </is>
      </c>
      <c r="BF846" t="inlineStr">
        <is>
          <t>893422832</t>
        </is>
      </c>
    </row>
    <row r="847">
      <c r="A847" t="inlineStr">
        <is>
          <t>No</t>
        </is>
      </c>
      <c r="B847" t="inlineStr">
        <is>
          <t>CURAL</t>
        </is>
      </c>
      <c r="C847" t="inlineStr">
        <is>
          <t>SHELVES</t>
        </is>
      </c>
      <c r="D847" t="inlineStr">
        <is>
          <t>PQ7084 .P5485 1993</t>
        </is>
      </c>
      <c r="E847" t="inlineStr">
        <is>
          <t>0                      PQ 7084000P  5485        1993</t>
        </is>
      </c>
      <c r="F847" t="inlineStr">
        <is>
          <t>Poesía hispanoamericana : territorio actual / selección d Julio Ortega.</t>
        </is>
      </c>
      <c r="H847" t="inlineStr">
        <is>
          <t>No</t>
        </is>
      </c>
      <c r="I847" t="inlineStr">
        <is>
          <t>1</t>
        </is>
      </c>
      <c r="J847" t="inlineStr">
        <is>
          <t>No</t>
        </is>
      </c>
      <c r="K847" t="inlineStr">
        <is>
          <t>No</t>
        </is>
      </c>
      <c r="L847" t="inlineStr">
        <is>
          <t>0</t>
        </is>
      </c>
      <c r="N847" t="inlineStr">
        <is>
          <t>Caracas, Venezuela : Pequeña Venecia, 1993.</t>
        </is>
      </c>
      <c r="O847" t="inlineStr">
        <is>
          <t>1993</t>
        </is>
      </c>
      <c r="Q847" t="inlineStr">
        <is>
          <t>spa</t>
        </is>
      </c>
      <c r="R847" t="inlineStr">
        <is>
          <t xml:space="preserve">ve </t>
        </is>
      </c>
      <c r="T847" t="inlineStr">
        <is>
          <t xml:space="preserve">PQ </t>
        </is>
      </c>
      <c r="U847" t="n">
        <v>1</v>
      </c>
      <c r="V847" t="n">
        <v>1</v>
      </c>
      <c r="W847" t="inlineStr">
        <is>
          <t>2002-04-03</t>
        </is>
      </c>
      <c r="X847" t="inlineStr">
        <is>
          <t>2002-04-03</t>
        </is>
      </c>
      <c r="Y847" t="inlineStr">
        <is>
          <t>2002-03-05</t>
        </is>
      </c>
      <c r="Z847" t="inlineStr">
        <is>
          <t>2002-03-05</t>
        </is>
      </c>
      <c r="AA847" t="n">
        <v>19</v>
      </c>
      <c r="AB847" t="n">
        <v>18</v>
      </c>
      <c r="AC847" t="n">
        <v>18</v>
      </c>
      <c r="AD847" t="n">
        <v>1</v>
      </c>
      <c r="AE847" t="n">
        <v>1</v>
      </c>
      <c r="AF847" t="n">
        <v>1</v>
      </c>
      <c r="AG847" t="n">
        <v>1</v>
      </c>
      <c r="AH847" t="n">
        <v>0</v>
      </c>
      <c r="AI847" t="n">
        <v>0</v>
      </c>
      <c r="AJ847" t="n">
        <v>0</v>
      </c>
      <c r="AK847" t="n">
        <v>0</v>
      </c>
      <c r="AL847" t="n">
        <v>1</v>
      </c>
      <c r="AM847" t="n">
        <v>1</v>
      </c>
      <c r="AN847" t="n">
        <v>0</v>
      </c>
      <c r="AO847" t="n">
        <v>0</v>
      </c>
      <c r="AP847" t="n">
        <v>0</v>
      </c>
      <c r="AQ847" t="n">
        <v>0</v>
      </c>
      <c r="AR847" t="inlineStr">
        <is>
          <t>No</t>
        </is>
      </c>
      <c r="AS847" t="inlineStr">
        <is>
          <t>No</t>
        </is>
      </c>
      <c r="AU847">
        <f>HYPERLINK("https://creighton-primo.hosted.exlibrisgroup.com/primo-explore/search?tab=default_tab&amp;search_scope=EVERYTHING&amp;vid=01CRU&amp;lang=en_US&amp;offset=0&amp;query=any,contains,991003757969702656","Catalog Record")</f>
        <v/>
      </c>
      <c r="AV847">
        <f>HYPERLINK("http://www.worldcat.org/oclc/29342331","WorldCat Record")</f>
        <v/>
      </c>
      <c r="AW847" t="inlineStr">
        <is>
          <t>1856694844:spa</t>
        </is>
      </c>
      <c r="AX847" t="inlineStr">
        <is>
          <t>29342331</t>
        </is>
      </c>
      <c r="AY847" t="inlineStr">
        <is>
          <t>991003757969702656</t>
        </is>
      </c>
      <c r="AZ847" t="inlineStr">
        <is>
          <t>991003757969702656</t>
        </is>
      </c>
      <c r="BA847" t="inlineStr">
        <is>
          <t>2265125770002656</t>
        </is>
      </c>
      <c r="BB847" t="inlineStr">
        <is>
          <t>BOOK</t>
        </is>
      </c>
      <c r="BD847" t="inlineStr">
        <is>
          <t>9789806315167</t>
        </is>
      </c>
      <c r="BE847" t="inlineStr">
        <is>
          <t>32285004459656</t>
        </is>
      </c>
      <c r="BF847" t="inlineStr">
        <is>
          <t>893881508</t>
        </is>
      </c>
    </row>
    <row r="848">
      <c r="A848" t="inlineStr">
        <is>
          <t>No</t>
        </is>
      </c>
      <c r="B848" t="inlineStr">
        <is>
          <t>CURAL</t>
        </is>
      </c>
      <c r="C848" t="inlineStr">
        <is>
          <t>SHELVES</t>
        </is>
      </c>
      <c r="D848" t="inlineStr">
        <is>
          <t>PQ7084 .P555 1988</t>
        </is>
      </c>
      <c r="E848" t="inlineStr">
        <is>
          <t>0                      PQ 7084000P  555         1988</t>
        </is>
      </c>
      <c r="F848" t="inlineStr">
        <is>
          <t>Poesía feminista del mundo hispánico (desde la edad media hasta la actualidad) : antología crítica / Angel Flores y Kate Flores.</t>
        </is>
      </c>
      <c r="H848" t="inlineStr">
        <is>
          <t>No</t>
        </is>
      </c>
      <c r="I848" t="inlineStr">
        <is>
          <t>1</t>
        </is>
      </c>
      <c r="J848" t="inlineStr">
        <is>
          <t>No</t>
        </is>
      </c>
      <c r="K848" t="inlineStr">
        <is>
          <t>No</t>
        </is>
      </c>
      <c r="L848" t="inlineStr">
        <is>
          <t>0</t>
        </is>
      </c>
      <c r="N848" t="inlineStr">
        <is>
          <t>[México] : Siglo Veintiuno Editores, 1988.</t>
        </is>
      </c>
      <c r="O848" t="inlineStr">
        <is>
          <t>1988</t>
        </is>
      </c>
      <c r="P848" t="inlineStr">
        <is>
          <t>2a ed.</t>
        </is>
      </c>
      <c r="Q848" t="inlineStr">
        <is>
          <t>spa</t>
        </is>
      </c>
      <c r="R848" t="inlineStr">
        <is>
          <t xml:space="preserve">mx </t>
        </is>
      </c>
      <c r="S848" t="inlineStr">
        <is>
          <t>La Creación literaria</t>
        </is>
      </c>
      <c r="T848" t="inlineStr">
        <is>
          <t xml:space="preserve">PQ </t>
        </is>
      </c>
      <c r="U848" t="n">
        <v>6</v>
      </c>
      <c r="V848" t="n">
        <v>6</v>
      </c>
      <c r="W848" t="inlineStr">
        <is>
          <t>1998-02-16</t>
        </is>
      </c>
      <c r="X848" t="inlineStr">
        <is>
          <t>1998-02-16</t>
        </is>
      </c>
      <c r="Y848" t="inlineStr">
        <is>
          <t>1991-12-16</t>
        </is>
      </c>
      <c r="Z848" t="inlineStr">
        <is>
          <t>1991-12-16</t>
        </is>
      </c>
      <c r="AA848" t="n">
        <v>49</v>
      </c>
      <c r="AB848" t="n">
        <v>44</v>
      </c>
      <c r="AC848" t="n">
        <v>215</v>
      </c>
      <c r="AD848" t="n">
        <v>1</v>
      </c>
      <c r="AE848" t="n">
        <v>2</v>
      </c>
      <c r="AF848" t="n">
        <v>5</v>
      </c>
      <c r="AG848" t="n">
        <v>13</v>
      </c>
      <c r="AH848" t="n">
        <v>1</v>
      </c>
      <c r="AI848" t="n">
        <v>3</v>
      </c>
      <c r="AJ848" t="n">
        <v>2</v>
      </c>
      <c r="AK848" t="n">
        <v>4</v>
      </c>
      <c r="AL848" t="n">
        <v>3</v>
      </c>
      <c r="AM848" t="n">
        <v>8</v>
      </c>
      <c r="AN848" t="n">
        <v>0</v>
      </c>
      <c r="AO848" t="n">
        <v>1</v>
      </c>
      <c r="AP848" t="n">
        <v>0</v>
      </c>
      <c r="AQ848" t="n">
        <v>0</v>
      </c>
      <c r="AR848" t="inlineStr">
        <is>
          <t>No</t>
        </is>
      </c>
      <c r="AS848" t="inlineStr">
        <is>
          <t>Yes</t>
        </is>
      </c>
      <c r="AT848">
        <f>HYPERLINK("http://catalog.hathitrust.org/Record/002629911","HathiTrust Record")</f>
        <v/>
      </c>
      <c r="AU848">
        <f>HYPERLINK("https://creighton-primo.hosted.exlibrisgroup.com/primo-explore/search?tab=default_tab&amp;search_scope=EVERYTHING&amp;vid=01CRU&amp;lang=en_US&amp;offset=0&amp;query=any,contains,991001446839702656","Catalog Record")</f>
        <v/>
      </c>
      <c r="AV848">
        <f>HYPERLINK("http://www.worldcat.org/oclc/19289355","WorldCat Record")</f>
        <v/>
      </c>
      <c r="AW848" t="inlineStr">
        <is>
          <t>905996986:spa</t>
        </is>
      </c>
      <c r="AX848" t="inlineStr">
        <is>
          <t>19289355</t>
        </is>
      </c>
      <c r="AY848" t="inlineStr">
        <is>
          <t>991001446839702656</t>
        </is>
      </c>
      <c r="AZ848" t="inlineStr">
        <is>
          <t>991001446839702656</t>
        </is>
      </c>
      <c r="BA848" t="inlineStr">
        <is>
          <t>2255111550002656</t>
        </is>
      </c>
      <c r="BB848" t="inlineStr">
        <is>
          <t>BOOK</t>
        </is>
      </c>
      <c r="BD848" t="inlineStr">
        <is>
          <t>9789682312793</t>
        </is>
      </c>
      <c r="BE848" t="inlineStr">
        <is>
          <t>32285000860725</t>
        </is>
      </c>
      <c r="BF848" t="inlineStr">
        <is>
          <t>893696755</t>
        </is>
      </c>
    </row>
    <row r="849">
      <c r="A849" t="inlineStr">
        <is>
          <t>No</t>
        </is>
      </c>
      <c r="B849" t="inlineStr">
        <is>
          <t>CURAL</t>
        </is>
      </c>
      <c r="C849" t="inlineStr">
        <is>
          <t>SHELVES</t>
        </is>
      </c>
      <c r="D849" t="inlineStr">
        <is>
          <t>PQ7085 .E83 1998</t>
        </is>
      </c>
      <c r="E849" t="inlineStr">
        <is>
          <t>0                      PQ 7085000E  83          1998</t>
        </is>
      </c>
      <c r="F849" t="inlineStr">
        <is>
          <t>Esas malditas mujeres : antología de cuentistas latinoamericanas / selección y prólogo, Angélica Gorodischer.</t>
        </is>
      </c>
      <c r="H849" t="inlineStr">
        <is>
          <t>No</t>
        </is>
      </c>
      <c r="I849" t="inlineStr">
        <is>
          <t>1</t>
        </is>
      </c>
      <c r="J849" t="inlineStr">
        <is>
          <t>No</t>
        </is>
      </c>
      <c r="K849" t="inlineStr">
        <is>
          <t>No</t>
        </is>
      </c>
      <c r="L849" t="inlineStr">
        <is>
          <t>0</t>
        </is>
      </c>
      <c r="N849" t="inlineStr">
        <is>
          <t>Rosario, Argentina : Ameghino Editora, 1998.</t>
        </is>
      </c>
      <c r="O849" t="inlineStr">
        <is>
          <t>1998</t>
        </is>
      </c>
      <c r="P849" t="inlineStr">
        <is>
          <t>1. ed.</t>
        </is>
      </c>
      <c r="Q849" t="inlineStr">
        <is>
          <t>spa</t>
        </is>
      </c>
      <c r="R849" t="inlineStr">
        <is>
          <t xml:space="preserve">ag </t>
        </is>
      </c>
      <c r="T849" t="inlineStr">
        <is>
          <t xml:space="preserve">PQ </t>
        </is>
      </c>
      <c r="U849" t="n">
        <v>1</v>
      </c>
      <c r="V849" t="n">
        <v>1</v>
      </c>
      <c r="W849" t="inlineStr">
        <is>
          <t>2005-05-19</t>
        </is>
      </c>
      <c r="X849" t="inlineStr">
        <is>
          <t>2005-05-19</t>
        </is>
      </c>
      <c r="Y849" t="inlineStr">
        <is>
          <t>2000-09-20</t>
        </is>
      </c>
      <c r="Z849" t="inlineStr">
        <is>
          <t>2000-09-20</t>
        </is>
      </c>
      <c r="AA849" t="n">
        <v>60</v>
      </c>
      <c r="AB849" t="n">
        <v>55</v>
      </c>
      <c r="AC849" t="n">
        <v>88</v>
      </c>
      <c r="AD849" t="n">
        <v>1</v>
      </c>
      <c r="AE849" t="n">
        <v>2</v>
      </c>
      <c r="AF849" t="n">
        <v>2</v>
      </c>
      <c r="AG849" t="n">
        <v>4</v>
      </c>
      <c r="AH849" t="n">
        <v>0</v>
      </c>
      <c r="AI849" t="n">
        <v>0</v>
      </c>
      <c r="AJ849" t="n">
        <v>1</v>
      </c>
      <c r="AK849" t="n">
        <v>2</v>
      </c>
      <c r="AL849" t="n">
        <v>2</v>
      </c>
      <c r="AM849" t="n">
        <v>3</v>
      </c>
      <c r="AN849" t="n">
        <v>0</v>
      </c>
      <c r="AO849" t="n">
        <v>0</v>
      </c>
      <c r="AP849" t="n">
        <v>0</v>
      </c>
      <c r="AQ849" t="n">
        <v>0</v>
      </c>
      <c r="AR849" t="inlineStr">
        <is>
          <t>No</t>
        </is>
      </c>
      <c r="AS849" t="inlineStr">
        <is>
          <t>Yes</t>
        </is>
      </c>
      <c r="AT849">
        <f>HYPERLINK("http://catalog.hathitrust.org/Record/004259866","HathiTrust Record")</f>
        <v/>
      </c>
      <c r="AU849">
        <f>HYPERLINK("https://creighton-primo.hosted.exlibrisgroup.com/primo-explore/search?tab=default_tab&amp;search_scope=EVERYTHING&amp;vid=01CRU&amp;lang=en_US&amp;offset=0&amp;query=any,contains,991003254179702656","Catalog Record")</f>
        <v/>
      </c>
      <c r="AV849">
        <f>HYPERLINK("http://www.worldcat.org/oclc/41635971","WorldCat Record")</f>
        <v/>
      </c>
      <c r="AW849" t="inlineStr">
        <is>
          <t>891192250:spa</t>
        </is>
      </c>
      <c r="AX849" t="inlineStr">
        <is>
          <t>41635971</t>
        </is>
      </c>
      <c r="AY849" t="inlineStr">
        <is>
          <t>991003254179702656</t>
        </is>
      </c>
      <c r="AZ849" t="inlineStr">
        <is>
          <t>991003254179702656</t>
        </is>
      </c>
      <c r="BA849" t="inlineStr">
        <is>
          <t>2260984140002656</t>
        </is>
      </c>
      <c r="BB849" t="inlineStr">
        <is>
          <t>BOOK</t>
        </is>
      </c>
      <c r="BD849" t="inlineStr">
        <is>
          <t>9789879216514</t>
        </is>
      </c>
      <c r="BE849" t="inlineStr">
        <is>
          <t>32285003763496</t>
        </is>
      </c>
      <c r="BF849" t="inlineStr">
        <is>
          <t>893227867</t>
        </is>
      </c>
    </row>
    <row r="850">
      <c r="A850" t="inlineStr">
        <is>
          <t>No</t>
        </is>
      </c>
      <c r="B850" t="inlineStr">
        <is>
          <t>CURAL</t>
        </is>
      </c>
      <c r="C850" t="inlineStr">
        <is>
          <t>SHELVES</t>
        </is>
      </c>
      <c r="D850" t="inlineStr">
        <is>
          <t>PQ7087.E5 A57 1982</t>
        </is>
      </c>
      <c r="E850" t="inlineStr">
        <is>
          <t>0                      PQ 7087000E  5                  A  57          1982</t>
        </is>
      </c>
      <c r="F850" t="inlineStr">
        <is>
          <t>Anti-Yankee feelings in Latin America : an anthology of Latin American writings from colonial to modern times in their historical perspective / by F. Toscano, James Hiester.</t>
        </is>
      </c>
      <c r="H850" t="inlineStr">
        <is>
          <t>No</t>
        </is>
      </c>
      <c r="I850" t="inlineStr">
        <is>
          <t>1</t>
        </is>
      </c>
      <c r="J850" t="inlineStr">
        <is>
          <t>No</t>
        </is>
      </c>
      <c r="K850" t="inlineStr">
        <is>
          <t>No</t>
        </is>
      </c>
      <c r="L850" t="inlineStr">
        <is>
          <t>0</t>
        </is>
      </c>
      <c r="N850" t="inlineStr">
        <is>
          <t>Washington, D.C. : University Press of America, c1982.</t>
        </is>
      </c>
      <c r="O850" t="inlineStr">
        <is>
          <t>1982</t>
        </is>
      </c>
      <c r="Q850" t="inlineStr">
        <is>
          <t>eng</t>
        </is>
      </c>
      <c r="R850" t="inlineStr">
        <is>
          <t>dcu</t>
        </is>
      </c>
      <c r="T850" t="inlineStr">
        <is>
          <t xml:space="preserve">PQ </t>
        </is>
      </c>
      <c r="U850" t="n">
        <v>1</v>
      </c>
      <c r="V850" t="n">
        <v>1</v>
      </c>
      <c r="W850" t="inlineStr">
        <is>
          <t>1992-10-19</t>
        </is>
      </c>
      <c r="X850" t="inlineStr">
        <is>
          <t>1992-10-19</t>
        </is>
      </c>
      <c r="Y850" t="inlineStr">
        <is>
          <t>1991-08-12</t>
        </is>
      </c>
      <c r="Z850" t="inlineStr">
        <is>
          <t>1991-08-12</t>
        </is>
      </c>
      <c r="AA850" t="n">
        <v>205</v>
      </c>
      <c r="AB850" t="n">
        <v>187</v>
      </c>
      <c r="AC850" t="n">
        <v>189</v>
      </c>
      <c r="AD850" t="n">
        <v>3</v>
      </c>
      <c r="AE850" t="n">
        <v>3</v>
      </c>
      <c r="AF850" t="n">
        <v>9</v>
      </c>
      <c r="AG850" t="n">
        <v>9</v>
      </c>
      <c r="AH850" t="n">
        <v>0</v>
      </c>
      <c r="AI850" t="n">
        <v>0</v>
      </c>
      <c r="AJ850" t="n">
        <v>5</v>
      </c>
      <c r="AK850" t="n">
        <v>5</v>
      </c>
      <c r="AL850" t="n">
        <v>4</v>
      </c>
      <c r="AM850" t="n">
        <v>4</v>
      </c>
      <c r="AN850" t="n">
        <v>2</v>
      </c>
      <c r="AO850" t="n">
        <v>2</v>
      </c>
      <c r="AP850" t="n">
        <v>0</v>
      </c>
      <c r="AQ850" t="n">
        <v>0</v>
      </c>
      <c r="AR850" t="inlineStr">
        <is>
          <t>No</t>
        </is>
      </c>
      <c r="AS850" t="inlineStr">
        <is>
          <t>Yes</t>
        </is>
      </c>
      <c r="AT850">
        <f>HYPERLINK("http://catalog.hathitrust.org/Record/008321463","HathiTrust Record")</f>
        <v/>
      </c>
      <c r="AU850">
        <f>HYPERLINK("https://creighton-primo.hosted.exlibrisgroup.com/primo-explore/search?tab=default_tab&amp;search_scope=EVERYTHING&amp;vid=01CRU&amp;lang=en_US&amp;offset=0&amp;query=any,contains,991000024089702656","Catalog Record")</f>
        <v/>
      </c>
      <c r="AV850">
        <f>HYPERLINK("http://www.worldcat.org/oclc/8587778","WorldCat Record")</f>
        <v/>
      </c>
      <c r="AW850" t="inlineStr">
        <is>
          <t>909185719:eng</t>
        </is>
      </c>
      <c r="AX850" t="inlineStr">
        <is>
          <t>8587778</t>
        </is>
      </c>
      <c r="AY850" t="inlineStr">
        <is>
          <t>991000024089702656</t>
        </is>
      </c>
      <c r="AZ850" t="inlineStr">
        <is>
          <t>991000024089702656</t>
        </is>
      </c>
      <c r="BA850" t="inlineStr">
        <is>
          <t>2259564520002656</t>
        </is>
      </c>
      <c r="BB850" t="inlineStr">
        <is>
          <t>BOOK</t>
        </is>
      </c>
      <c r="BD850" t="inlineStr">
        <is>
          <t>9780819121462</t>
        </is>
      </c>
      <c r="BE850" t="inlineStr">
        <is>
          <t>32285000682525</t>
        </is>
      </c>
      <c r="BF850" t="inlineStr">
        <is>
          <t>893783885</t>
        </is>
      </c>
    </row>
    <row r="851">
      <c r="A851" t="inlineStr">
        <is>
          <t>No</t>
        </is>
      </c>
      <c r="B851" t="inlineStr">
        <is>
          <t>CURAL</t>
        </is>
      </c>
      <c r="C851" t="inlineStr">
        <is>
          <t>SHELVES</t>
        </is>
      </c>
      <c r="D851" t="inlineStr">
        <is>
          <t>PQ7087.E5 N49 1992</t>
        </is>
      </c>
      <c r="E851" t="inlineStr">
        <is>
          <t>0                      PQ 7087000E  5                  N  49          1992</t>
        </is>
      </c>
      <c r="F851" t="inlineStr">
        <is>
          <t>New tales of mystery and crime from Latin America / edited and translated by Amelia Simpson.</t>
        </is>
      </c>
      <c r="H851" t="inlineStr">
        <is>
          <t>No</t>
        </is>
      </c>
      <c r="I851" t="inlineStr">
        <is>
          <t>1</t>
        </is>
      </c>
      <c r="J851" t="inlineStr">
        <is>
          <t>No</t>
        </is>
      </c>
      <c r="K851" t="inlineStr">
        <is>
          <t>No</t>
        </is>
      </c>
      <c r="L851" t="inlineStr">
        <is>
          <t>0</t>
        </is>
      </c>
      <c r="N851" t="inlineStr">
        <is>
          <t>Rutherford : Fairleigh Dickinson University Press ; London : Associated University Presses, c1992.</t>
        </is>
      </c>
      <c r="O851" t="inlineStr">
        <is>
          <t>1992</t>
        </is>
      </c>
      <c r="Q851" t="inlineStr">
        <is>
          <t>eng</t>
        </is>
      </c>
      <c r="R851" t="inlineStr">
        <is>
          <t>nju</t>
        </is>
      </c>
      <c r="T851" t="inlineStr">
        <is>
          <t xml:space="preserve">PQ </t>
        </is>
      </c>
      <c r="U851" t="n">
        <v>2</v>
      </c>
      <c r="V851" t="n">
        <v>2</v>
      </c>
      <c r="W851" t="inlineStr">
        <is>
          <t>1998-11-16</t>
        </is>
      </c>
      <c r="X851" t="inlineStr">
        <is>
          <t>1998-11-16</t>
        </is>
      </c>
      <c r="Y851" t="inlineStr">
        <is>
          <t>1995-09-10</t>
        </is>
      </c>
      <c r="Z851" t="inlineStr">
        <is>
          <t>1995-09-10</t>
        </is>
      </c>
      <c r="AA851" t="n">
        <v>169</v>
      </c>
      <c r="AB851" t="n">
        <v>148</v>
      </c>
      <c r="AC851" t="n">
        <v>150</v>
      </c>
      <c r="AD851" t="n">
        <v>1</v>
      </c>
      <c r="AE851" t="n">
        <v>1</v>
      </c>
      <c r="AF851" t="n">
        <v>6</v>
      </c>
      <c r="AG851" t="n">
        <v>6</v>
      </c>
      <c r="AH851" t="n">
        <v>2</v>
      </c>
      <c r="AI851" t="n">
        <v>2</v>
      </c>
      <c r="AJ851" t="n">
        <v>2</v>
      </c>
      <c r="AK851" t="n">
        <v>2</v>
      </c>
      <c r="AL851" t="n">
        <v>5</v>
      </c>
      <c r="AM851" t="n">
        <v>5</v>
      </c>
      <c r="AN851" t="n">
        <v>0</v>
      </c>
      <c r="AO851" t="n">
        <v>0</v>
      </c>
      <c r="AP851" t="n">
        <v>0</v>
      </c>
      <c r="AQ851" t="n">
        <v>0</v>
      </c>
      <c r="AR851" t="inlineStr">
        <is>
          <t>No</t>
        </is>
      </c>
      <c r="AS851" t="inlineStr">
        <is>
          <t>Yes</t>
        </is>
      </c>
      <c r="AT851">
        <f>HYPERLINK("http://catalog.hathitrust.org/Record/002571790","HathiTrust Record")</f>
        <v/>
      </c>
      <c r="AU851">
        <f>HYPERLINK("https://creighton-primo.hosted.exlibrisgroup.com/primo-explore/search?tab=default_tab&amp;search_scope=EVERYTHING&amp;vid=01CRU&amp;lang=en_US&amp;offset=0&amp;query=any,contains,991001917579702656","Catalog Record")</f>
        <v/>
      </c>
      <c r="AV851">
        <f>HYPERLINK("http://www.worldcat.org/oclc/24214491","WorldCat Record")</f>
        <v/>
      </c>
      <c r="AW851" t="inlineStr">
        <is>
          <t>26117768:eng</t>
        </is>
      </c>
      <c r="AX851" t="inlineStr">
        <is>
          <t>24214491</t>
        </is>
      </c>
      <c r="AY851" t="inlineStr">
        <is>
          <t>991001917579702656</t>
        </is>
      </c>
      <c r="AZ851" t="inlineStr">
        <is>
          <t>991001917579702656</t>
        </is>
      </c>
      <c r="BA851" t="inlineStr">
        <is>
          <t>2271256280002656</t>
        </is>
      </c>
      <c r="BB851" t="inlineStr">
        <is>
          <t>BOOK</t>
        </is>
      </c>
      <c r="BD851" t="inlineStr">
        <is>
          <t>9780838634530</t>
        </is>
      </c>
      <c r="BE851" t="inlineStr">
        <is>
          <t>32285002092939</t>
        </is>
      </c>
      <c r="BF851" t="inlineStr">
        <is>
          <t>893703450</t>
        </is>
      </c>
    </row>
    <row r="852">
      <c r="A852" t="inlineStr">
        <is>
          <t>No</t>
        </is>
      </c>
      <c r="B852" t="inlineStr">
        <is>
          <t>CURAL</t>
        </is>
      </c>
      <c r="C852" t="inlineStr">
        <is>
          <t>SHELVES</t>
        </is>
      </c>
      <c r="D852" t="inlineStr">
        <is>
          <t>PQ7087.E5 N84 1999</t>
        </is>
      </c>
      <c r="E852" t="inlineStr">
        <is>
          <t>0                      PQ 7087000E  5                  N  84          1999</t>
        </is>
      </c>
      <c r="F852" t="inlineStr">
        <is>
          <t>Nueva poesía latinoamericana / prólogo y selección Miguel Ángel Zapata.</t>
        </is>
      </c>
      <c r="H852" t="inlineStr">
        <is>
          <t>No</t>
        </is>
      </c>
      <c r="I852" t="inlineStr">
        <is>
          <t>1</t>
        </is>
      </c>
      <c r="J852" t="inlineStr">
        <is>
          <t>No</t>
        </is>
      </c>
      <c r="K852" t="inlineStr">
        <is>
          <t>No</t>
        </is>
      </c>
      <c r="L852" t="inlineStr">
        <is>
          <t>0</t>
        </is>
      </c>
      <c r="N852" t="inlineStr">
        <is>
          <t>México : Universidad Nacional Autónoma de México : Universidad Veracruzana, 1999.</t>
        </is>
      </c>
      <c r="O852" t="inlineStr">
        <is>
          <t>1999</t>
        </is>
      </c>
      <c r="P852" t="inlineStr">
        <is>
          <t>1a ed.</t>
        </is>
      </c>
      <c r="Q852" t="inlineStr">
        <is>
          <t>spa</t>
        </is>
      </c>
      <c r="R852" t="inlineStr">
        <is>
          <t xml:space="preserve">mx </t>
        </is>
      </c>
      <c r="S852" t="inlineStr">
        <is>
          <t>Antologías literarias del siglo XX ; 3</t>
        </is>
      </c>
      <c r="T852" t="inlineStr">
        <is>
          <t xml:space="preserve">PQ </t>
        </is>
      </c>
      <c r="U852" t="n">
        <v>1</v>
      </c>
      <c r="V852" t="n">
        <v>1</v>
      </c>
      <c r="W852" t="inlineStr">
        <is>
          <t>2000-09-05</t>
        </is>
      </c>
      <c r="X852" t="inlineStr">
        <is>
          <t>2000-09-05</t>
        </is>
      </c>
      <c r="Y852" t="inlineStr">
        <is>
          <t>2000-09-05</t>
        </is>
      </c>
      <c r="Z852" t="inlineStr">
        <is>
          <t>2000-09-05</t>
        </is>
      </c>
      <c r="AA852" t="n">
        <v>110</v>
      </c>
      <c r="AB852" t="n">
        <v>91</v>
      </c>
      <c r="AC852" t="n">
        <v>103</v>
      </c>
      <c r="AD852" t="n">
        <v>1</v>
      </c>
      <c r="AE852" t="n">
        <v>1</v>
      </c>
      <c r="AF852" t="n">
        <v>1</v>
      </c>
      <c r="AG852" t="n">
        <v>1</v>
      </c>
      <c r="AH852" t="n">
        <v>0</v>
      </c>
      <c r="AI852" t="n">
        <v>0</v>
      </c>
      <c r="AJ852" t="n">
        <v>0</v>
      </c>
      <c r="AK852" t="n">
        <v>0</v>
      </c>
      <c r="AL852" t="n">
        <v>1</v>
      </c>
      <c r="AM852" t="n">
        <v>1</v>
      </c>
      <c r="AN852" t="n">
        <v>0</v>
      </c>
      <c r="AO852" t="n">
        <v>0</v>
      </c>
      <c r="AP852" t="n">
        <v>0</v>
      </c>
      <c r="AQ852" t="n">
        <v>0</v>
      </c>
      <c r="AR852" t="inlineStr">
        <is>
          <t>No</t>
        </is>
      </c>
      <c r="AS852" t="inlineStr">
        <is>
          <t>Yes</t>
        </is>
      </c>
      <c r="AT852">
        <f>HYPERLINK("http://catalog.hathitrust.org/Record/004088136","HathiTrust Record")</f>
        <v/>
      </c>
      <c r="AU852">
        <f>HYPERLINK("https://creighton-primo.hosted.exlibrisgroup.com/primo-explore/search?tab=default_tab&amp;search_scope=EVERYTHING&amp;vid=01CRU&amp;lang=en_US&amp;offset=0&amp;query=any,contains,991003255249702656","Catalog Record")</f>
        <v/>
      </c>
      <c r="AV852">
        <f>HYPERLINK("http://www.worldcat.org/oclc/44131218","WorldCat Record")</f>
        <v/>
      </c>
      <c r="AW852" t="inlineStr">
        <is>
          <t>56549569:spa</t>
        </is>
      </c>
      <c r="AX852" t="inlineStr">
        <is>
          <t>44131218</t>
        </is>
      </c>
      <c r="AY852" t="inlineStr">
        <is>
          <t>991003255249702656</t>
        </is>
      </c>
      <c r="AZ852" t="inlineStr">
        <is>
          <t>991003255249702656</t>
        </is>
      </c>
      <c r="BA852" t="inlineStr">
        <is>
          <t>2269474160002656</t>
        </is>
      </c>
      <c r="BB852" t="inlineStr">
        <is>
          <t>BOOK</t>
        </is>
      </c>
      <c r="BD852" t="inlineStr">
        <is>
          <t>9789683669650</t>
        </is>
      </c>
      <c r="BE852" t="inlineStr">
        <is>
          <t>32285003760054</t>
        </is>
      </c>
      <c r="BF852" t="inlineStr">
        <is>
          <t>893434807</t>
        </is>
      </c>
    </row>
    <row r="853">
      <c r="A853" t="inlineStr">
        <is>
          <t>No</t>
        </is>
      </c>
      <c r="B853" t="inlineStr">
        <is>
          <t>CURAL</t>
        </is>
      </c>
      <c r="C853" t="inlineStr">
        <is>
          <t>SHELVES</t>
        </is>
      </c>
      <c r="D853" t="inlineStr">
        <is>
          <t>PQ7087.E5 W65 1988</t>
        </is>
      </c>
      <c r="E853" t="inlineStr">
        <is>
          <t>0                      PQ 7087000E  5                  W  65          1988</t>
        </is>
      </c>
      <c r="F853" t="inlineStr">
        <is>
          <t>Woman who has sprouted wings : poems by contemporary Latin American women poets / edited by Mary Crow.</t>
        </is>
      </c>
      <c r="H853" t="inlineStr">
        <is>
          <t>No</t>
        </is>
      </c>
      <c r="I853" t="inlineStr">
        <is>
          <t>1</t>
        </is>
      </c>
      <c r="J853" t="inlineStr">
        <is>
          <t>No</t>
        </is>
      </c>
      <c r="K853" t="inlineStr">
        <is>
          <t>No</t>
        </is>
      </c>
      <c r="L853" t="inlineStr">
        <is>
          <t>0</t>
        </is>
      </c>
      <c r="N853" t="inlineStr">
        <is>
          <t>Pittsburgh, Pa. : Latin American Literary Review Press, 1987, c1988.</t>
        </is>
      </c>
      <c r="O853" t="inlineStr">
        <is>
          <t>1987</t>
        </is>
      </c>
      <c r="P853" t="inlineStr">
        <is>
          <t>2nd. ed.</t>
        </is>
      </c>
      <c r="Q853" t="inlineStr">
        <is>
          <t>eng</t>
        </is>
      </c>
      <c r="R853" t="inlineStr">
        <is>
          <t>pau</t>
        </is>
      </c>
      <c r="S853" t="inlineStr">
        <is>
          <t>Discoveries</t>
        </is>
      </c>
      <c r="T853" t="inlineStr">
        <is>
          <t xml:space="preserve">PQ </t>
        </is>
      </c>
      <c r="U853" t="n">
        <v>2</v>
      </c>
      <c r="V853" t="n">
        <v>2</v>
      </c>
      <c r="W853" t="inlineStr">
        <is>
          <t>2002-04-09</t>
        </is>
      </c>
      <c r="X853" t="inlineStr">
        <is>
          <t>2002-04-09</t>
        </is>
      </c>
      <c r="Y853" t="inlineStr">
        <is>
          <t>2002-03-14</t>
        </is>
      </c>
      <c r="Z853" t="inlineStr">
        <is>
          <t>2002-03-14</t>
        </is>
      </c>
      <c r="AA853" t="n">
        <v>286</v>
      </c>
      <c r="AB853" t="n">
        <v>266</v>
      </c>
      <c r="AC853" t="n">
        <v>574</v>
      </c>
      <c r="AD853" t="n">
        <v>2</v>
      </c>
      <c r="AE853" t="n">
        <v>6</v>
      </c>
      <c r="AF853" t="n">
        <v>10</v>
      </c>
      <c r="AG853" t="n">
        <v>28</v>
      </c>
      <c r="AH853" t="n">
        <v>4</v>
      </c>
      <c r="AI853" t="n">
        <v>10</v>
      </c>
      <c r="AJ853" t="n">
        <v>1</v>
      </c>
      <c r="AK853" t="n">
        <v>6</v>
      </c>
      <c r="AL853" t="n">
        <v>6</v>
      </c>
      <c r="AM853" t="n">
        <v>11</v>
      </c>
      <c r="AN853" t="n">
        <v>1</v>
      </c>
      <c r="AO853" t="n">
        <v>5</v>
      </c>
      <c r="AP853" t="n">
        <v>0</v>
      </c>
      <c r="AQ853" t="n">
        <v>0</v>
      </c>
      <c r="AR853" t="inlineStr">
        <is>
          <t>No</t>
        </is>
      </c>
      <c r="AS853" t="inlineStr">
        <is>
          <t>Yes</t>
        </is>
      </c>
      <c r="AT853">
        <f>HYPERLINK("http://catalog.hathitrust.org/Record/001072906","HathiTrust Record")</f>
        <v/>
      </c>
      <c r="AU853">
        <f>HYPERLINK("https://creighton-primo.hosted.exlibrisgroup.com/primo-explore/search?tab=default_tab&amp;search_scope=EVERYTHING&amp;vid=01CRU&amp;lang=en_US&amp;offset=0&amp;query=any,contains,991003764269702656","Catalog Record")</f>
        <v/>
      </c>
      <c r="AV853">
        <f>HYPERLINK("http://www.worldcat.org/oclc/18223043","WorldCat Record")</f>
        <v/>
      </c>
      <c r="AW853" t="inlineStr">
        <is>
          <t>899387309:eng</t>
        </is>
      </c>
      <c r="AX853" t="inlineStr">
        <is>
          <t>18223043</t>
        </is>
      </c>
      <c r="AY853" t="inlineStr">
        <is>
          <t>991003764269702656</t>
        </is>
      </c>
      <c r="AZ853" t="inlineStr">
        <is>
          <t>991003764269702656</t>
        </is>
      </c>
      <c r="BA853" t="inlineStr">
        <is>
          <t>2260956990002656</t>
        </is>
      </c>
      <c r="BB853" t="inlineStr">
        <is>
          <t>BOOK</t>
        </is>
      </c>
      <c r="BD853" t="inlineStr">
        <is>
          <t>9780935480351</t>
        </is>
      </c>
      <c r="BE853" t="inlineStr">
        <is>
          <t>32285004461389</t>
        </is>
      </c>
      <c r="BF853" t="inlineStr">
        <is>
          <t>893353024</t>
        </is>
      </c>
    </row>
    <row r="854">
      <c r="A854" t="inlineStr">
        <is>
          <t>No</t>
        </is>
      </c>
      <c r="B854" t="inlineStr">
        <is>
          <t>CURAL</t>
        </is>
      </c>
      <c r="C854" t="inlineStr">
        <is>
          <t>SHELVES</t>
        </is>
      </c>
      <c r="D854" t="inlineStr">
        <is>
          <t>PQ7111 .C438 1995</t>
        </is>
      </c>
      <c r="E854" t="inlineStr">
        <is>
          <t>0                      PQ 7111000C  438         1995</t>
        </is>
      </c>
      <c r="F854" t="inlineStr">
        <is>
          <t>Literatura mexicana y latinoamericana / Laura Martha Chávez.</t>
        </is>
      </c>
      <c r="H854" t="inlineStr">
        <is>
          <t>No</t>
        </is>
      </c>
      <c r="I854" t="inlineStr">
        <is>
          <t>1</t>
        </is>
      </c>
      <c r="J854" t="inlineStr">
        <is>
          <t>No</t>
        </is>
      </c>
      <c r="K854" t="inlineStr">
        <is>
          <t>No</t>
        </is>
      </c>
      <c r="L854" t="inlineStr">
        <is>
          <t>0</t>
        </is>
      </c>
      <c r="M854" t="inlineStr">
        <is>
          <t>Chávez, Laura Martha.</t>
        </is>
      </c>
      <c r="N854" t="inlineStr">
        <is>
          <t>México, D.F. : Editorial Trillas, 1995.</t>
        </is>
      </c>
      <c r="O854" t="inlineStr">
        <is>
          <t>1995</t>
        </is>
      </c>
      <c r="P854" t="inlineStr">
        <is>
          <t>1. ed.</t>
        </is>
      </c>
      <c r="Q854" t="inlineStr">
        <is>
          <t>spa</t>
        </is>
      </c>
      <c r="R854" t="inlineStr">
        <is>
          <t xml:space="preserve">mx </t>
        </is>
      </c>
      <c r="T854" t="inlineStr">
        <is>
          <t xml:space="preserve">PQ </t>
        </is>
      </c>
      <c r="U854" t="n">
        <v>3</v>
      </c>
      <c r="V854" t="n">
        <v>3</v>
      </c>
      <c r="W854" t="inlineStr">
        <is>
          <t>1997-10-03</t>
        </is>
      </c>
      <c r="X854" t="inlineStr">
        <is>
          <t>1997-10-03</t>
        </is>
      </c>
      <c r="Y854" t="inlineStr">
        <is>
          <t>1996-09-12</t>
        </is>
      </c>
      <c r="Z854" t="inlineStr">
        <is>
          <t>1996-09-12</t>
        </is>
      </c>
      <c r="AA854" t="n">
        <v>46</v>
      </c>
      <c r="AB854" t="n">
        <v>36</v>
      </c>
      <c r="AC854" t="n">
        <v>36</v>
      </c>
      <c r="AD854" t="n">
        <v>1</v>
      </c>
      <c r="AE854" t="n">
        <v>1</v>
      </c>
      <c r="AF854" t="n">
        <v>1</v>
      </c>
      <c r="AG854" t="n">
        <v>1</v>
      </c>
      <c r="AH854" t="n">
        <v>1</v>
      </c>
      <c r="AI854" t="n">
        <v>1</v>
      </c>
      <c r="AJ854" t="n">
        <v>0</v>
      </c>
      <c r="AK854" t="n">
        <v>0</v>
      </c>
      <c r="AL854" t="n">
        <v>1</v>
      </c>
      <c r="AM854" t="n">
        <v>1</v>
      </c>
      <c r="AN854" t="n">
        <v>0</v>
      </c>
      <c r="AO854" t="n">
        <v>0</v>
      </c>
      <c r="AP854" t="n">
        <v>0</v>
      </c>
      <c r="AQ854" t="n">
        <v>0</v>
      </c>
      <c r="AR854" t="inlineStr">
        <is>
          <t>No</t>
        </is>
      </c>
      <c r="AS854" t="inlineStr">
        <is>
          <t>No</t>
        </is>
      </c>
      <c r="AU854">
        <f>HYPERLINK("https://creighton-primo.hosted.exlibrisgroup.com/primo-explore/search?tab=default_tab&amp;search_scope=EVERYTHING&amp;vid=01CRU&amp;lang=en_US&amp;offset=0&amp;query=any,contains,991002696959702656","Catalog Record")</f>
        <v/>
      </c>
      <c r="AV854">
        <f>HYPERLINK("http://www.worldcat.org/oclc/35209641","WorldCat Record")</f>
        <v/>
      </c>
      <c r="AW854" t="inlineStr">
        <is>
          <t>39685995:spa</t>
        </is>
      </c>
      <c r="AX854" t="inlineStr">
        <is>
          <t>35209641</t>
        </is>
      </c>
      <c r="AY854" t="inlineStr">
        <is>
          <t>991002696959702656</t>
        </is>
      </c>
      <c r="AZ854" t="inlineStr">
        <is>
          <t>991002696959702656</t>
        </is>
      </c>
      <c r="BA854" t="inlineStr">
        <is>
          <t>2270860040002656</t>
        </is>
      </c>
      <c r="BB854" t="inlineStr">
        <is>
          <t>BOOK</t>
        </is>
      </c>
      <c r="BD854" t="inlineStr">
        <is>
          <t>9789682451843</t>
        </is>
      </c>
      <c r="BE854" t="inlineStr">
        <is>
          <t>32285002318003</t>
        </is>
      </c>
      <c r="BF854" t="inlineStr">
        <is>
          <t>893523937</t>
        </is>
      </c>
    </row>
    <row r="855">
      <c r="A855" t="inlineStr">
        <is>
          <t>No</t>
        </is>
      </c>
      <c r="B855" t="inlineStr">
        <is>
          <t>CURAL</t>
        </is>
      </c>
      <c r="C855" t="inlineStr">
        <is>
          <t>SHELVES</t>
        </is>
      </c>
      <c r="D855" t="inlineStr">
        <is>
          <t>PQ7111 .G62 1968</t>
        </is>
      </c>
      <c r="E855" t="inlineStr">
        <is>
          <t>0                      PQ 7111000G  62          1968</t>
        </is>
      </c>
      <c r="F855" t="inlineStr">
        <is>
          <t>History of Mexican literature. Translated by Gusta Barfield Nance and Florence Johnson Dunstan.</t>
        </is>
      </c>
      <c r="H855" t="inlineStr">
        <is>
          <t>No</t>
        </is>
      </c>
      <c r="I855" t="inlineStr">
        <is>
          <t>1</t>
        </is>
      </c>
      <c r="J855" t="inlineStr">
        <is>
          <t>No</t>
        </is>
      </c>
      <c r="K855" t="inlineStr">
        <is>
          <t>No</t>
        </is>
      </c>
      <c r="L855" t="inlineStr">
        <is>
          <t>0</t>
        </is>
      </c>
      <c r="M855" t="inlineStr">
        <is>
          <t>González Peña, Carlos, 1885-1955.</t>
        </is>
      </c>
      <c r="N855" t="inlineStr">
        <is>
          <t>Dallas, Southern Methodist University Press [1968]</t>
        </is>
      </c>
      <c r="O855" t="inlineStr">
        <is>
          <t>1968</t>
        </is>
      </c>
      <c r="P855" t="inlineStr">
        <is>
          <t>3d ed. [rev. and enl.]</t>
        </is>
      </c>
      <c r="Q855" t="inlineStr">
        <is>
          <t>eng</t>
        </is>
      </c>
      <c r="R855" t="inlineStr">
        <is>
          <t>txu</t>
        </is>
      </c>
      <c r="T855" t="inlineStr">
        <is>
          <t xml:space="preserve">PQ </t>
        </is>
      </c>
      <c r="U855" t="n">
        <v>4</v>
      </c>
      <c r="V855" t="n">
        <v>4</v>
      </c>
      <c r="W855" t="inlineStr">
        <is>
          <t>1998-11-19</t>
        </is>
      </c>
      <c r="X855" t="inlineStr">
        <is>
          <t>1998-11-19</t>
        </is>
      </c>
      <c r="Y855" t="inlineStr">
        <is>
          <t>1997-10-01</t>
        </is>
      </c>
      <c r="Z855" t="inlineStr">
        <is>
          <t>1997-10-01</t>
        </is>
      </c>
      <c r="AA855" t="n">
        <v>912</v>
      </c>
      <c r="AB855" t="n">
        <v>876</v>
      </c>
      <c r="AC855" t="n">
        <v>1171</v>
      </c>
      <c r="AD855" t="n">
        <v>5</v>
      </c>
      <c r="AE855" t="n">
        <v>9</v>
      </c>
      <c r="AF855" t="n">
        <v>35</v>
      </c>
      <c r="AG855" t="n">
        <v>44</v>
      </c>
      <c r="AH855" t="n">
        <v>17</v>
      </c>
      <c r="AI855" t="n">
        <v>18</v>
      </c>
      <c r="AJ855" t="n">
        <v>7</v>
      </c>
      <c r="AK855" t="n">
        <v>10</v>
      </c>
      <c r="AL855" t="n">
        <v>15</v>
      </c>
      <c r="AM855" t="n">
        <v>18</v>
      </c>
      <c r="AN855" t="n">
        <v>4</v>
      </c>
      <c r="AO855" t="n">
        <v>8</v>
      </c>
      <c r="AP855" t="n">
        <v>0</v>
      </c>
      <c r="AQ855" t="n">
        <v>0</v>
      </c>
      <c r="AR855" t="inlineStr">
        <is>
          <t>No</t>
        </is>
      </c>
      <c r="AS855" t="inlineStr">
        <is>
          <t>Yes</t>
        </is>
      </c>
      <c r="AT855">
        <f>HYPERLINK("http://catalog.hathitrust.org/Record/001111734","HathiTrust Record")</f>
        <v/>
      </c>
      <c r="AU855">
        <f>HYPERLINK("https://creighton-primo.hosted.exlibrisgroup.com/primo-explore/search?tab=default_tab&amp;search_scope=EVERYTHING&amp;vid=01CRU&amp;lang=en_US&amp;offset=0&amp;query=any,contains,991002790809702656","Catalog Record")</f>
        <v/>
      </c>
      <c r="AV855">
        <f>HYPERLINK("http://www.worldcat.org/oclc/443272","WorldCat Record")</f>
        <v/>
      </c>
      <c r="AW855" t="inlineStr">
        <is>
          <t>2528672:eng</t>
        </is>
      </c>
      <c r="AX855" t="inlineStr">
        <is>
          <t>443272</t>
        </is>
      </c>
      <c r="AY855" t="inlineStr">
        <is>
          <t>991002790809702656</t>
        </is>
      </c>
      <c r="AZ855" t="inlineStr">
        <is>
          <t>991002790809702656</t>
        </is>
      </c>
      <c r="BA855" t="inlineStr">
        <is>
          <t>2264559920002656</t>
        </is>
      </c>
      <c r="BB855" t="inlineStr">
        <is>
          <t>BOOK</t>
        </is>
      </c>
      <c r="BE855" t="inlineStr">
        <is>
          <t>32285003236832</t>
        </is>
      </c>
      <c r="BF855" t="inlineStr">
        <is>
          <t>893792918</t>
        </is>
      </c>
    </row>
    <row r="856">
      <c r="A856" t="inlineStr">
        <is>
          <t>No</t>
        </is>
      </c>
      <c r="B856" t="inlineStr">
        <is>
          <t>CURAL</t>
        </is>
      </c>
      <c r="C856" t="inlineStr">
        <is>
          <t>SHELVES</t>
        </is>
      </c>
      <c r="D856" t="inlineStr">
        <is>
          <t>PQ7111 .H57 1996</t>
        </is>
      </c>
      <c r="E856" t="inlineStr">
        <is>
          <t>0                      PQ 7111000H  57          1996</t>
        </is>
      </c>
      <c r="F856" t="inlineStr">
        <is>
          <t>Historia de la literatura mexicana : desde sus orígines hasta nuestros días / coordinadores, Beatriz Garza Cuarón, Georges Baudot.</t>
        </is>
      </c>
      <c r="G856" t="inlineStr">
        <is>
          <t>V.1</t>
        </is>
      </c>
      <c r="H856" t="inlineStr">
        <is>
          <t>No</t>
        </is>
      </c>
      <c r="I856" t="inlineStr">
        <is>
          <t>1</t>
        </is>
      </c>
      <c r="J856" t="inlineStr">
        <is>
          <t>No</t>
        </is>
      </c>
      <c r="K856" t="inlineStr">
        <is>
          <t>No</t>
        </is>
      </c>
      <c r="L856" t="inlineStr">
        <is>
          <t>0</t>
        </is>
      </c>
      <c r="N856" t="inlineStr">
        <is>
          <t>México, D.F. : Siglo Veintiuno Editores, 1996-</t>
        </is>
      </c>
      <c r="O856" t="inlineStr">
        <is>
          <t>1996</t>
        </is>
      </c>
      <c r="P856" t="inlineStr">
        <is>
          <t>1. ed.</t>
        </is>
      </c>
      <c r="Q856" t="inlineStr">
        <is>
          <t>spa</t>
        </is>
      </c>
      <c r="R856" t="inlineStr">
        <is>
          <t xml:space="preserve">mx </t>
        </is>
      </c>
      <c r="S856" t="inlineStr">
        <is>
          <t>Lingüística y teoría literaria</t>
        </is>
      </c>
      <c r="T856" t="inlineStr">
        <is>
          <t xml:space="preserve">PQ </t>
        </is>
      </c>
      <c r="U856" t="n">
        <v>5</v>
      </c>
      <c r="V856" t="n">
        <v>5</v>
      </c>
      <c r="W856" t="inlineStr">
        <is>
          <t>2000-08-25</t>
        </is>
      </c>
      <c r="X856" t="inlineStr">
        <is>
          <t>2000-08-25</t>
        </is>
      </c>
      <c r="Y856" t="inlineStr">
        <is>
          <t>1998-09-03</t>
        </is>
      </c>
      <c r="Z856" t="inlineStr">
        <is>
          <t>1998-09-03</t>
        </is>
      </c>
      <c r="AA856" t="n">
        <v>166</v>
      </c>
      <c r="AB856" t="n">
        <v>140</v>
      </c>
      <c r="AC856" t="n">
        <v>144</v>
      </c>
      <c r="AD856" t="n">
        <v>1</v>
      </c>
      <c r="AE856" t="n">
        <v>1</v>
      </c>
      <c r="AF856" t="n">
        <v>7</v>
      </c>
      <c r="AG856" t="n">
        <v>7</v>
      </c>
      <c r="AH856" t="n">
        <v>0</v>
      </c>
      <c r="AI856" t="n">
        <v>0</v>
      </c>
      <c r="AJ856" t="n">
        <v>2</v>
      </c>
      <c r="AK856" t="n">
        <v>2</v>
      </c>
      <c r="AL856" t="n">
        <v>6</v>
      </c>
      <c r="AM856" t="n">
        <v>6</v>
      </c>
      <c r="AN856" t="n">
        <v>0</v>
      </c>
      <c r="AO856" t="n">
        <v>0</v>
      </c>
      <c r="AP856" t="n">
        <v>0</v>
      </c>
      <c r="AQ856" t="n">
        <v>0</v>
      </c>
      <c r="AR856" t="inlineStr">
        <is>
          <t>No</t>
        </is>
      </c>
      <c r="AS856" t="inlineStr">
        <is>
          <t>Yes</t>
        </is>
      </c>
      <c r="AT856">
        <f>HYPERLINK("http://catalog.hathitrust.org/Record/004316572","HathiTrust Record")</f>
        <v/>
      </c>
      <c r="AU856">
        <f>HYPERLINK("https://creighton-primo.hosted.exlibrisgroup.com/primo-explore/search?tab=default_tab&amp;search_scope=EVERYTHING&amp;vid=01CRU&amp;lang=en_US&amp;offset=0&amp;query=any,contains,991005426139702656","Catalog Record")</f>
        <v/>
      </c>
      <c r="AV856">
        <f>HYPERLINK("http://www.worldcat.org/oclc/36704181","WorldCat Record")</f>
        <v/>
      </c>
      <c r="AW856" t="inlineStr">
        <is>
          <t>4918086489:spa</t>
        </is>
      </c>
      <c r="AX856" t="inlineStr">
        <is>
          <t>36704181</t>
        </is>
      </c>
      <c r="AY856" t="inlineStr">
        <is>
          <t>991005426139702656</t>
        </is>
      </c>
      <c r="AZ856" t="inlineStr">
        <is>
          <t>991005426139702656</t>
        </is>
      </c>
      <c r="BA856" t="inlineStr">
        <is>
          <t>2261302520002656</t>
        </is>
      </c>
      <c r="BB856" t="inlineStr">
        <is>
          <t>BOOK</t>
        </is>
      </c>
      <c r="BD856" t="inlineStr">
        <is>
          <t>9789682320460</t>
        </is>
      </c>
      <c r="BE856" t="inlineStr">
        <is>
          <t>32285003465654</t>
        </is>
      </c>
      <c r="BF856" t="inlineStr">
        <is>
          <t>893533840</t>
        </is>
      </c>
    </row>
    <row r="857">
      <c r="A857" t="inlineStr">
        <is>
          <t>No</t>
        </is>
      </c>
      <c r="B857" t="inlineStr">
        <is>
          <t>CURAL</t>
        </is>
      </c>
      <c r="C857" t="inlineStr">
        <is>
          <t>SHELVES</t>
        </is>
      </c>
      <c r="D857" t="inlineStr">
        <is>
          <t>PQ7114 .P5 1974</t>
        </is>
      </c>
      <c r="E857" t="inlineStr">
        <is>
          <t>0                      PQ 7114000P  5           1974</t>
        </is>
      </c>
      <c r="F857" t="inlineStr">
        <is>
          <t>Cinco estudios sobre literatura mexicana moderna / Allen W. Phillips.</t>
        </is>
      </c>
      <c r="H857" t="inlineStr">
        <is>
          <t>No</t>
        </is>
      </c>
      <c r="I857" t="inlineStr">
        <is>
          <t>1</t>
        </is>
      </c>
      <c r="J857" t="inlineStr">
        <is>
          <t>No</t>
        </is>
      </c>
      <c r="K857" t="inlineStr">
        <is>
          <t>No</t>
        </is>
      </c>
      <c r="L857" t="inlineStr">
        <is>
          <t>0</t>
        </is>
      </c>
      <c r="M857" t="inlineStr">
        <is>
          <t>Phillips, Allen W., 1922-2011.</t>
        </is>
      </c>
      <c r="N857" t="inlineStr">
        <is>
          <t>México : Secretaría de Educación Pública, 1974.</t>
        </is>
      </c>
      <c r="O857" t="inlineStr">
        <is>
          <t>1974</t>
        </is>
      </c>
      <c r="P857" t="inlineStr">
        <is>
          <t>1. ed.</t>
        </is>
      </c>
      <c r="Q857" t="inlineStr">
        <is>
          <t>spa</t>
        </is>
      </c>
      <c r="R857" t="inlineStr">
        <is>
          <t xml:space="preserve">mx </t>
        </is>
      </c>
      <c r="S857" t="inlineStr">
        <is>
          <t>SepSetentas ; 133</t>
        </is>
      </c>
      <c r="T857" t="inlineStr">
        <is>
          <t xml:space="preserve">PQ </t>
        </is>
      </c>
      <c r="U857" t="n">
        <v>1</v>
      </c>
      <c r="V857" t="n">
        <v>1</v>
      </c>
      <c r="W857" t="inlineStr">
        <is>
          <t>2005-03-22</t>
        </is>
      </c>
      <c r="X857" t="inlineStr">
        <is>
          <t>2005-03-22</t>
        </is>
      </c>
      <c r="Y857" t="inlineStr">
        <is>
          <t>2005-03-22</t>
        </is>
      </c>
      <c r="Z857" t="inlineStr">
        <is>
          <t>2005-03-22</t>
        </is>
      </c>
      <c r="AA857" t="n">
        <v>107</v>
      </c>
      <c r="AB857" t="n">
        <v>87</v>
      </c>
      <c r="AC857" t="n">
        <v>93</v>
      </c>
      <c r="AD857" t="n">
        <v>2</v>
      </c>
      <c r="AE857" t="n">
        <v>2</v>
      </c>
      <c r="AF857" t="n">
        <v>4</v>
      </c>
      <c r="AG857" t="n">
        <v>4</v>
      </c>
      <c r="AH857" t="n">
        <v>0</v>
      </c>
      <c r="AI857" t="n">
        <v>0</v>
      </c>
      <c r="AJ857" t="n">
        <v>2</v>
      </c>
      <c r="AK857" t="n">
        <v>2</v>
      </c>
      <c r="AL857" t="n">
        <v>2</v>
      </c>
      <c r="AM857" t="n">
        <v>2</v>
      </c>
      <c r="AN857" t="n">
        <v>1</v>
      </c>
      <c r="AO857" t="n">
        <v>1</v>
      </c>
      <c r="AP857" t="n">
        <v>0</v>
      </c>
      <c r="AQ857" t="n">
        <v>0</v>
      </c>
      <c r="AR857" t="inlineStr">
        <is>
          <t>No</t>
        </is>
      </c>
      <c r="AS857" t="inlineStr">
        <is>
          <t>Yes</t>
        </is>
      </c>
      <c r="AT857">
        <f>HYPERLINK("http://catalog.hathitrust.org/Record/000026311","HathiTrust Record")</f>
        <v/>
      </c>
      <c r="AU857">
        <f>HYPERLINK("https://creighton-primo.hosted.exlibrisgroup.com/primo-explore/search?tab=default_tab&amp;search_scope=EVERYTHING&amp;vid=01CRU&amp;lang=en_US&amp;offset=0&amp;query=any,contains,991004508799702656","Catalog Record")</f>
        <v/>
      </c>
      <c r="AV857">
        <f>HYPERLINK("http://www.worldcat.org/oclc/1076539","WorldCat Record")</f>
        <v/>
      </c>
      <c r="AW857" t="inlineStr">
        <is>
          <t>2037248:spa</t>
        </is>
      </c>
      <c r="AX857" t="inlineStr">
        <is>
          <t>1076539</t>
        </is>
      </c>
      <c r="AY857" t="inlineStr">
        <is>
          <t>991004508799702656</t>
        </is>
      </c>
      <c r="AZ857" t="inlineStr">
        <is>
          <t>991004508799702656</t>
        </is>
      </c>
      <c r="BA857" t="inlineStr">
        <is>
          <t>2257351260002656</t>
        </is>
      </c>
      <c r="BB857" t="inlineStr">
        <is>
          <t>BOOK</t>
        </is>
      </c>
      <c r="BE857" t="inlineStr">
        <is>
          <t>32285005029482</t>
        </is>
      </c>
      <c r="BF857" t="inlineStr">
        <is>
          <t>893801030</t>
        </is>
      </c>
    </row>
    <row r="858">
      <c r="A858" t="inlineStr">
        <is>
          <t>No</t>
        </is>
      </c>
      <c r="B858" t="inlineStr">
        <is>
          <t>CURAL</t>
        </is>
      </c>
      <c r="C858" t="inlineStr">
        <is>
          <t>SHELVES</t>
        </is>
      </c>
      <c r="D858" t="inlineStr">
        <is>
          <t>PQ7127 .P66 2000</t>
        </is>
      </c>
      <c r="E858" t="inlineStr">
        <is>
          <t>0                      PQ 7127000P  66          2000</t>
        </is>
      </c>
      <c r="F858" t="inlineStr">
        <is>
          <t>Las siete cabritas / Elena Poniatowska.</t>
        </is>
      </c>
      <c r="H858" t="inlineStr">
        <is>
          <t>No</t>
        </is>
      </c>
      <c r="I858" t="inlineStr">
        <is>
          <t>1</t>
        </is>
      </c>
      <c r="J858" t="inlineStr">
        <is>
          <t>No</t>
        </is>
      </c>
      <c r="K858" t="inlineStr">
        <is>
          <t>No</t>
        </is>
      </c>
      <c r="L858" t="inlineStr">
        <is>
          <t>0</t>
        </is>
      </c>
      <c r="M858" t="inlineStr">
        <is>
          <t>Poniatowska, Elena.</t>
        </is>
      </c>
      <c r="N858" t="inlineStr">
        <is>
          <t>México, D.F. : Ediciones Era, 2000.</t>
        </is>
      </c>
      <c r="O858" t="inlineStr">
        <is>
          <t>2000</t>
        </is>
      </c>
      <c r="P858" t="inlineStr">
        <is>
          <t>1. ed.</t>
        </is>
      </c>
      <c r="Q858" t="inlineStr">
        <is>
          <t>spa</t>
        </is>
      </c>
      <c r="R858" t="inlineStr">
        <is>
          <t xml:space="preserve">mx </t>
        </is>
      </c>
      <c r="S858" t="inlineStr">
        <is>
          <t>Biblioteca Era</t>
        </is>
      </c>
      <c r="T858" t="inlineStr">
        <is>
          <t xml:space="preserve">PQ </t>
        </is>
      </c>
      <c r="U858" t="n">
        <v>2</v>
      </c>
      <c r="V858" t="n">
        <v>2</v>
      </c>
      <c r="W858" t="inlineStr">
        <is>
          <t>2002-12-05</t>
        </is>
      </c>
      <c r="X858" t="inlineStr">
        <is>
          <t>2002-12-05</t>
        </is>
      </c>
      <c r="Y858" t="inlineStr">
        <is>
          <t>2002-12-05</t>
        </is>
      </c>
      <c r="Z858" t="inlineStr">
        <is>
          <t>2002-12-05</t>
        </is>
      </c>
      <c r="AA858" t="n">
        <v>131</v>
      </c>
      <c r="AB858" t="n">
        <v>106</v>
      </c>
      <c r="AC858" t="n">
        <v>165</v>
      </c>
      <c r="AD858" t="n">
        <v>2</v>
      </c>
      <c r="AE858" t="n">
        <v>2</v>
      </c>
      <c r="AF858" t="n">
        <v>3</v>
      </c>
      <c r="AG858" t="n">
        <v>3</v>
      </c>
      <c r="AH858" t="n">
        <v>0</v>
      </c>
      <c r="AI858" t="n">
        <v>0</v>
      </c>
      <c r="AJ858" t="n">
        <v>1</v>
      </c>
      <c r="AK858" t="n">
        <v>1</v>
      </c>
      <c r="AL858" t="n">
        <v>2</v>
      </c>
      <c r="AM858" t="n">
        <v>2</v>
      </c>
      <c r="AN858" t="n">
        <v>0</v>
      </c>
      <c r="AO858" t="n">
        <v>0</v>
      </c>
      <c r="AP858" t="n">
        <v>0</v>
      </c>
      <c r="AQ858" t="n">
        <v>0</v>
      </c>
      <c r="AR858" t="inlineStr">
        <is>
          <t>No</t>
        </is>
      </c>
      <c r="AS858" t="inlineStr">
        <is>
          <t>Yes</t>
        </is>
      </c>
      <c r="AT858">
        <f>HYPERLINK("http://catalog.hathitrust.org/Record/004157430","HathiTrust Record")</f>
        <v/>
      </c>
      <c r="AU858">
        <f>HYPERLINK("https://creighton-primo.hosted.exlibrisgroup.com/primo-explore/search?tab=default_tab&amp;search_scope=EVERYTHING&amp;vid=01CRU&amp;lang=en_US&amp;offset=0&amp;query=any,contains,991003926009702656","Catalog Record")</f>
        <v/>
      </c>
      <c r="AV858">
        <f>HYPERLINK("http://www.worldcat.org/oclc/45723952","WorldCat Record")</f>
        <v/>
      </c>
      <c r="AW858" t="inlineStr">
        <is>
          <t>352994523:spa</t>
        </is>
      </c>
      <c r="AX858" t="inlineStr">
        <is>
          <t>45723952</t>
        </is>
      </c>
      <c r="AY858" t="inlineStr">
        <is>
          <t>991003926009702656</t>
        </is>
      </c>
      <c r="AZ858" t="inlineStr">
        <is>
          <t>991003926009702656</t>
        </is>
      </c>
      <c r="BA858" t="inlineStr">
        <is>
          <t>2271838300002656</t>
        </is>
      </c>
      <c r="BB858" t="inlineStr">
        <is>
          <t>BOOK</t>
        </is>
      </c>
      <c r="BD858" t="inlineStr">
        <is>
          <t>9789684114982</t>
        </is>
      </c>
      <c r="BE858" t="inlineStr">
        <is>
          <t>32285004668819</t>
        </is>
      </c>
      <c r="BF858" t="inlineStr">
        <is>
          <t>893531779</t>
        </is>
      </c>
    </row>
    <row r="859">
      <c r="A859" t="inlineStr">
        <is>
          <t>No</t>
        </is>
      </c>
      <c r="B859" t="inlineStr">
        <is>
          <t>CURAL</t>
        </is>
      </c>
      <c r="C859" t="inlineStr">
        <is>
          <t>SHELVES</t>
        </is>
      </c>
      <c r="D859" t="inlineStr">
        <is>
          <t>PQ7151 .C37 2001</t>
        </is>
      </c>
      <c r="E859" t="inlineStr">
        <is>
          <t>0                      PQ 7151000C  37          2001</t>
        </is>
      </c>
      <c r="F859" t="inlineStr">
        <is>
          <t>Diccionario crítico de las letras mexicanas en el siglo XIX / Emmanuel Carballo ; con la colaboración de Jesús Gómez Morán y Norma Elizabeth Salazar Hernández.</t>
        </is>
      </c>
      <c r="H859" t="inlineStr">
        <is>
          <t>No</t>
        </is>
      </c>
      <c r="I859" t="inlineStr">
        <is>
          <t>1</t>
        </is>
      </c>
      <c r="J859" t="inlineStr">
        <is>
          <t>No</t>
        </is>
      </c>
      <c r="K859" t="inlineStr">
        <is>
          <t>No</t>
        </is>
      </c>
      <c r="L859" t="inlineStr">
        <is>
          <t>0</t>
        </is>
      </c>
      <c r="M859" t="inlineStr">
        <is>
          <t>Carballo, Emmanuel.</t>
        </is>
      </c>
      <c r="N859" t="inlineStr">
        <is>
          <t>Mexico, D.F. : Océano : CONACULTA, c2001.</t>
        </is>
      </c>
      <c r="O859" t="inlineStr">
        <is>
          <t>2001</t>
        </is>
      </c>
      <c r="P859" t="inlineStr">
        <is>
          <t>1. ed.</t>
        </is>
      </c>
      <c r="Q859" t="inlineStr">
        <is>
          <t>spa</t>
        </is>
      </c>
      <c r="R859" t="inlineStr">
        <is>
          <t xml:space="preserve">mx </t>
        </is>
      </c>
      <c r="S859" t="inlineStr">
        <is>
          <t>Intemporales</t>
        </is>
      </c>
      <c r="T859" t="inlineStr">
        <is>
          <t xml:space="preserve">PQ </t>
        </is>
      </c>
      <c r="U859" t="n">
        <v>1</v>
      </c>
      <c r="V859" t="n">
        <v>1</v>
      </c>
      <c r="W859" t="inlineStr">
        <is>
          <t>2003-02-25</t>
        </is>
      </c>
      <c r="X859" t="inlineStr">
        <is>
          <t>2003-02-25</t>
        </is>
      </c>
      <c r="Y859" t="inlineStr">
        <is>
          <t>2003-02-25</t>
        </is>
      </c>
      <c r="Z859" t="inlineStr">
        <is>
          <t>2003-02-25</t>
        </is>
      </c>
      <c r="AA859" t="n">
        <v>108</v>
      </c>
      <c r="AB859" t="n">
        <v>83</v>
      </c>
      <c r="AC859" t="n">
        <v>85</v>
      </c>
      <c r="AD859" t="n">
        <v>1</v>
      </c>
      <c r="AE859" t="n">
        <v>1</v>
      </c>
      <c r="AF859" t="n">
        <v>1</v>
      </c>
      <c r="AG859" t="n">
        <v>1</v>
      </c>
      <c r="AH859" t="n">
        <v>0</v>
      </c>
      <c r="AI859" t="n">
        <v>0</v>
      </c>
      <c r="AJ859" t="n">
        <v>1</v>
      </c>
      <c r="AK859" t="n">
        <v>1</v>
      </c>
      <c r="AL859" t="n">
        <v>1</v>
      </c>
      <c r="AM859" t="n">
        <v>1</v>
      </c>
      <c r="AN859" t="n">
        <v>0</v>
      </c>
      <c r="AO859" t="n">
        <v>0</v>
      </c>
      <c r="AP859" t="n">
        <v>0</v>
      </c>
      <c r="AQ859" t="n">
        <v>0</v>
      </c>
      <c r="AR859" t="inlineStr">
        <is>
          <t>No</t>
        </is>
      </c>
      <c r="AS859" t="inlineStr">
        <is>
          <t>Yes</t>
        </is>
      </c>
      <c r="AT859">
        <f>HYPERLINK("http://catalog.hathitrust.org/Record/004303767","HathiTrust Record")</f>
        <v/>
      </c>
      <c r="AU859">
        <f>HYPERLINK("https://creighton-primo.hosted.exlibrisgroup.com/primo-explore/search?tab=default_tab&amp;search_scope=EVERYTHING&amp;vid=01CRU&amp;lang=en_US&amp;offset=0&amp;query=any,contains,991003924999702656","Catalog Record")</f>
        <v/>
      </c>
      <c r="AV859">
        <f>HYPERLINK("http://www.worldcat.org/oclc/49522869","WorldCat Record")</f>
        <v/>
      </c>
      <c r="AW859" t="inlineStr">
        <is>
          <t>38844270:spa</t>
        </is>
      </c>
      <c r="AX859" t="inlineStr">
        <is>
          <t>49522869</t>
        </is>
      </c>
      <c r="AY859" t="inlineStr">
        <is>
          <t>991003924999702656</t>
        </is>
      </c>
      <c r="AZ859" t="inlineStr">
        <is>
          <t>991003924999702656</t>
        </is>
      </c>
      <c r="BA859" t="inlineStr">
        <is>
          <t>2270723060002656</t>
        </is>
      </c>
      <c r="BB859" t="inlineStr">
        <is>
          <t>BOOK</t>
        </is>
      </c>
      <c r="BD859" t="inlineStr">
        <is>
          <t>9789701872680</t>
        </is>
      </c>
      <c r="BE859" t="inlineStr">
        <is>
          <t>32285004697065</t>
        </is>
      </c>
      <c r="BF859" t="inlineStr">
        <is>
          <t>893718240</t>
        </is>
      </c>
    </row>
    <row r="860">
      <c r="A860" t="inlineStr">
        <is>
          <t>No</t>
        </is>
      </c>
      <c r="B860" t="inlineStr">
        <is>
          <t>CURAL</t>
        </is>
      </c>
      <c r="C860" t="inlineStr">
        <is>
          <t>SHELVES</t>
        </is>
      </c>
      <c r="D860" t="inlineStr">
        <is>
          <t>PQ7161 .X5 1962</t>
        </is>
      </c>
      <c r="E860" t="inlineStr">
        <is>
          <t>0                      PQ 7161000X  5           1962</t>
        </is>
      </c>
      <c r="F860" t="inlineStr">
        <is>
          <t>Poetas de México y Espanã : ensayos / por Ramon Xirau.</t>
        </is>
      </c>
      <c r="H860" t="inlineStr">
        <is>
          <t>No</t>
        </is>
      </c>
      <c r="I860" t="inlineStr">
        <is>
          <t>1</t>
        </is>
      </c>
      <c r="J860" t="inlineStr">
        <is>
          <t>No</t>
        </is>
      </c>
      <c r="K860" t="inlineStr">
        <is>
          <t>No</t>
        </is>
      </c>
      <c r="L860" t="inlineStr">
        <is>
          <t>0</t>
        </is>
      </c>
      <c r="M860" t="inlineStr">
        <is>
          <t>Xirau, Ramón.</t>
        </is>
      </c>
      <c r="N860" t="inlineStr">
        <is>
          <t>Madrid : J. Porrúa Turanzas, 1962.</t>
        </is>
      </c>
      <c r="O860" t="inlineStr">
        <is>
          <t>1962</t>
        </is>
      </c>
      <c r="Q860" t="inlineStr">
        <is>
          <t>spa</t>
        </is>
      </c>
      <c r="R860" t="inlineStr">
        <is>
          <t xml:space="preserve">sp </t>
        </is>
      </c>
      <c r="S860" t="inlineStr">
        <is>
          <t>Bibliotheca Tenanitla; libros españoles e hispanoamericanos, 4</t>
        </is>
      </c>
      <c r="T860" t="inlineStr">
        <is>
          <t xml:space="preserve">PQ </t>
        </is>
      </c>
      <c r="U860" t="n">
        <v>1</v>
      </c>
      <c r="V860" t="n">
        <v>1</v>
      </c>
      <c r="W860" t="inlineStr">
        <is>
          <t>2005-04-06</t>
        </is>
      </c>
      <c r="X860" t="inlineStr">
        <is>
          <t>2005-04-06</t>
        </is>
      </c>
      <c r="Y860" t="inlineStr">
        <is>
          <t>2005-04-06</t>
        </is>
      </c>
      <c r="Z860" t="inlineStr">
        <is>
          <t>2005-04-06</t>
        </is>
      </c>
      <c r="AA860" t="n">
        <v>163</v>
      </c>
      <c r="AB860" t="n">
        <v>129</v>
      </c>
      <c r="AC860" t="n">
        <v>133</v>
      </c>
      <c r="AD860" t="n">
        <v>2</v>
      </c>
      <c r="AE860" t="n">
        <v>2</v>
      </c>
      <c r="AF860" t="n">
        <v>5</v>
      </c>
      <c r="AG860" t="n">
        <v>5</v>
      </c>
      <c r="AH860" t="n">
        <v>0</v>
      </c>
      <c r="AI860" t="n">
        <v>0</v>
      </c>
      <c r="AJ860" t="n">
        <v>2</v>
      </c>
      <c r="AK860" t="n">
        <v>2</v>
      </c>
      <c r="AL860" t="n">
        <v>2</v>
      </c>
      <c r="AM860" t="n">
        <v>2</v>
      </c>
      <c r="AN860" t="n">
        <v>1</v>
      </c>
      <c r="AO860" t="n">
        <v>1</v>
      </c>
      <c r="AP860" t="n">
        <v>0</v>
      </c>
      <c r="AQ860" t="n">
        <v>0</v>
      </c>
      <c r="AR860" t="inlineStr">
        <is>
          <t>No</t>
        </is>
      </c>
      <c r="AS860" t="inlineStr">
        <is>
          <t>Yes</t>
        </is>
      </c>
      <c r="AT860">
        <f>HYPERLINK("http://catalog.hathitrust.org/Record/001036978","HathiTrust Record")</f>
        <v/>
      </c>
      <c r="AU860">
        <f>HYPERLINK("https://creighton-primo.hosted.exlibrisgroup.com/primo-explore/search?tab=default_tab&amp;search_scope=EVERYTHING&amp;vid=01CRU&amp;lang=en_US&amp;offset=0&amp;query=any,contains,991004523769702656","Catalog Record")</f>
        <v/>
      </c>
      <c r="AV860">
        <f>HYPERLINK("http://www.worldcat.org/oclc/1591341","WorldCat Record")</f>
        <v/>
      </c>
      <c r="AW860" t="inlineStr">
        <is>
          <t>2483705:spa</t>
        </is>
      </c>
      <c r="AX860" t="inlineStr">
        <is>
          <t>1591341</t>
        </is>
      </c>
      <c r="AY860" t="inlineStr">
        <is>
          <t>991004523769702656</t>
        </is>
      </c>
      <c r="AZ860" t="inlineStr">
        <is>
          <t>991004523769702656</t>
        </is>
      </c>
      <c r="BA860" t="inlineStr">
        <is>
          <t>2267000070002656</t>
        </is>
      </c>
      <c r="BB860" t="inlineStr">
        <is>
          <t>BOOK</t>
        </is>
      </c>
      <c r="BE860" t="inlineStr">
        <is>
          <t>32285005048367</t>
        </is>
      </c>
      <c r="BF860" t="inlineStr">
        <is>
          <t>893411647</t>
        </is>
      </c>
    </row>
    <row r="861">
      <c r="A861" t="inlineStr">
        <is>
          <t>No</t>
        </is>
      </c>
      <c r="B861" t="inlineStr">
        <is>
          <t>CURAL</t>
        </is>
      </c>
      <c r="C861" t="inlineStr">
        <is>
          <t>SHELVES</t>
        </is>
      </c>
      <c r="D861" t="inlineStr">
        <is>
          <t>PQ7197 .I2</t>
        </is>
      </c>
      <c r="E861" t="inlineStr">
        <is>
          <t>0                      PQ 7197000I  2</t>
        </is>
      </c>
      <c r="F861" t="inlineStr">
        <is>
          <t>Bibliografía de novelistas mexicanos; ensayo biográfico, bibliográfico y crítico [por] Juan B. Iguíniz.</t>
        </is>
      </c>
      <c r="H861" t="inlineStr">
        <is>
          <t>No</t>
        </is>
      </c>
      <c r="I861" t="inlineStr">
        <is>
          <t>1</t>
        </is>
      </c>
      <c r="J861" t="inlineStr">
        <is>
          <t>No</t>
        </is>
      </c>
      <c r="K861" t="inlineStr">
        <is>
          <t>No</t>
        </is>
      </c>
      <c r="L861" t="inlineStr">
        <is>
          <t>0</t>
        </is>
      </c>
      <c r="M861" t="inlineStr">
        <is>
          <t>Iguíniz, Juan B., 1881-1972.</t>
        </is>
      </c>
      <c r="N861" t="inlineStr">
        <is>
          <t>New York, B. Franklin [1970]</t>
        </is>
      </c>
      <c r="O861" t="inlineStr">
        <is>
          <t>1970</t>
        </is>
      </c>
      <c r="Q861" t="inlineStr">
        <is>
          <t>spa</t>
        </is>
      </c>
      <c r="R861" t="inlineStr">
        <is>
          <t xml:space="preserve">xx </t>
        </is>
      </c>
      <c r="S861" t="inlineStr">
        <is>
          <t>Burt Franklin bibliography &amp; reference series, 397. Essays in literature and criticism, 110</t>
        </is>
      </c>
      <c r="T861" t="inlineStr">
        <is>
          <t xml:space="preserve">PQ </t>
        </is>
      </c>
      <c r="U861" t="n">
        <v>2</v>
      </c>
      <c r="V861" t="n">
        <v>2</v>
      </c>
      <c r="W861" t="inlineStr">
        <is>
          <t>1997-10-03</t>
        </is>
      </c>
      <c r="X861" t="inlineStr">
        <is>
          <t>1997-10-03</t>
        </is>
      </c>
      <c r="Y861" t="inlineStr">
        <is>
          <t>1997-10-01</t>
        </is>
      </c>
      <c r="Z861" t="inlineStr">
        <is>
          <t>1997-10-01</t>
        </is>
      </c>
      <c r="AA861" t="n">
        <v>149</v>
      </c>
      <c r="AB861" t="n">
        <v>132</v>
      </c>
      <c r="AC861" t="n">
        <v>231</v>
      </c>
      <c r="AD861" t="n">
        <v>2</v>
      </c>
      <c r="AE861" t="n">
        <v>3</v>
      </c>
      <c r="AF861" t="n">
        <v>5</v>
      </c>
      <c r="AG861" t="n">
        <v>10</v>
      </c>
      <c r="AH861" t="n">
        <v>1</v>
      </c>
      <c r="AI861" t="n">
        <v>1</v>
      </c>
      <c r="AJ861" t="n">
        <v>1</v>
      </c>
      <c r="AK861" t="n">
        <v>3</v>
      </c>
      <c r="AL861" t="n">
        <v>3</v>
      </c>
      <c r="AM861" t="n">
        <v>6</v>
      </c>
      <c r="AN861" t="n">
        <v>1</v>
      </c>
      <c r="AO861" t="n">
        <v>2</v>
      </c>
      <c r="AP861" t="n">
        <v>0</v>
      </c>
      <c r="AQ861" t="n">
        <v>0</v>
      </c>
      <c r="AR861" t="inlineStr">
        <is>
          <t>No</t>
        </is>
      </c>
      <c r="AS861" t="inlineStr">
        <is>
          <t>Yes</t>
        </is>
      </c>
      <c r="AT861">
        <f>HYPERLINK("http://catalog.hathitrust.org/Record/004469420","HathiTrust Record")</f>
        <v/>
      </c>
      <c r="AU861">
        <f>HYPERLINK("https://creighton-primo.hosted.exlibrisgroup.com/primo-explore/search?tab=default_tab&amp;search_scope=EVERYTHING&amp;vid=01CRU&amp;lang=en_US&amp;offset=0&amp;query=any,contains,991002889799702656","Catalog Record")</f>
        <v/>
      </c>
      <c r="AV861">
        <f>HYPERLINK("http://www.worldcat.org/oclc/511031","WorldCat Record")</f>
        <v/>
      </c>
      <c r="AW861" t="inlineStr">
        <is>
          <t>55484336:spa</t>
        </is>
      </c>
      <c r="AX861" t="inlineStr">
        <is>
          <t>511031</t>
        </is>
      </c>
      <c r="AY861" t="inlineStr">
        <is>
          <t>991002889799702656</t>
        </is>
      </c>
      <c r="AZ861" t="inlineStr">
        <is>
          <t>991002889799702656</t>
        </is>
      </c>
      <c r="BA861" t="inlineStr">
        <is>
          <t>2263969150002656</t>
        </is>
      </c>
      <c r="BB861" t="inlineStr">
        <is>
          <t>BOOK</t>
        </is>
      </c>
      <c r="BD861" t="inlineStr">
        <is>
          <t>9780833717993</t>
        </is>
      </c>
      <c r="BE861" t="inlineStr">
        <is>
          <t>32285003236873</t>
        </is>
      </c>
      <c r="BF861" t="inlineStr">
        <is>
          <t>893685915</t>
        </is>
      </c>
    </row>
    <row r="862">
      <c r="A862" t="inlineStr">
        <is>
          <t>No</t>
        </is>
      </c>
      <c r="B862" t="inlineStr">
        <is>
          <t>CURAL</t>
        </is>
      </c>
      <c r="C862" t="inlineStr">
        <is>
          <t>SHELVES</t>
        </is>
      </c>
      <c r="D862" t="inlineStr">
        <is>
          <t>PQ7203 .D415 1986</t>
        </is>
      </c>
      <c r="E862" t="inlineStr">
        <is>
          <t>0                      PQ 7203000D  415         1986</t>
        </is>
      </c>
      <c r="F862" t="inlineStr">
        <is>
          <t>La novela de la Revolución Mexicana / Adalbert Dessau ; traducción de Juan José Utrilla.</t>
        </is>
      </c>
      <c r="H862" t="inlineStr">
        <is>
          <t>No</t>
        </is>
      </c>
      <c r="I862" t="inlineStr">
        <is>
          <t>1</t>
        </is>
      </c>
      <c r="J862" t="inlineStr">
        <is>
          <t>No</t>
        </is>
      </c>
      <c r="K862" t="inlineStr">
        <is>
          <t>No</t>
        </is>
      </c>
      <c r="L862" t="inlineStr">
        <is>
          <t>0</t>
        </is>
      </c>
      <c r="M862" t="inlineStr">
        <is>
          <t>Dessau, Adalbert.</t>
        </is>
      </c>
      <c r="N862" t="inlineStr">
        <is>
          <t>México, D.F. : Fondo de Cultura Económica, c1986.</t>
        </is>
      </c>
      <c r="O862" t="inlineStr">
        <is>
          <t>1986</t>
        </is>
      </c>
      <c r="P862" t="inlineStr">
        <is>
          <t>1a ed. en español.</t>
        </is>
      </c>
      <c r="Q862" t="inlineStr">
        <is>
          <t>spa</t>
        </is>
      </c>
      <c r="R862" t="inlineStr">
        <is>
          <t xml:space="preserve">mx </t>
        </is>
      </c>
      <c r="S862" t="inlineStr">
        <is>
          <t>Colección popular</t>
        </is>
      </c>
      <c r="T862" t="inlineStr">
        <is>
          <t xml:space="preserve">PQ </t>
        </is>
      </c>
      <c r="U862" t="n">
        <v>3</v>
      </c>
      <c r="V862" t="n">
        <v>3</v>
      </c>
      <c r="W862" t="inlineStr">
        <is>
          <t>1995-08-21</t>
        </is>
      </c>
      <c r="X862" t="inlineStr">
        <is>
          <t>1995-08-21</t>
        </is>
      </c>
      <c r="Y862" t="inlineStr">
        <is>
          <t>1995-08-17</t>
        </is>
      </c>
      <c r="Z862" t="inlineStr">
        <is>
          <t>1995-08-17</t>
        </is>
      </c>
      <c r="AA862" t="n">
        <v>68</v>
      </c>
      <c r="AB862" t="n">
        <v>53</v>
      </c>
      <c r="AC862" t="n">
        <v>252</v>
      </c>
      <c r="AD862" t="n">
        <v>1</v>
      </c>
      <c r="AE862" t="n">
        <v>4</v>
      </c>
      <c r="AF862" t="n">
        <v>1</v>
      </c>
      <c r="AG862" t="n">
        <v>9</v>
      </c>
      <c r="AH862" t="n">
        <v>0</v>
      </c>
      <c r="AI862" t="n">
        <v>2</v>
      </c>
      <c r="AJ862" t="n">
        <v>1</v>
      </c>
      <c r="AK862" t="n">
        <v>3</v>
      </c>
      <c r="AL862" t="n">
        <v>0</v>
      </c>
      <c r="AM862" t="n">
        <v>3</v>
      </c>
      <c r="AN862" t="n">
        <v>0</v>
      </c>
      <c r="AO862" t="n">
        <v>3</v>
      </c>
      <c r="AP862" t="n">
        <v>0</v>
      </c>
      <c r="AQ862" t="n">
        <v>0</v>
      </c>
      <c r="AR862" t="inlineStr">
        <is>
          <t>No</t>
        </is>
      </c>
      <c r="AS862" t="inlineStr">
        <is>
          <t>Yes</t>
        </is>
      </c>
      <c r="AT862">
        <f>HYPERLINK("http://catalog.hathitrust.org/Record/008447908","HathiTrust Record")</f>
        <v/>
      </c>
      <c r="AU862">
        <f>HYPERLINK("https://creighton-primo.hosted.exlibrisgroup.com/primo-explore/search?tab=default_tab&amp;search_scope=EVERYTHING&amp;vid=01CRU&amp;lang=en_US&amp;offset=0&amp;query=any,contains,991001044639702656","Catalog Record")</f>
        <v/>
      </c>
      <c r="AV862">
        <f>HYPERLINK("http://www.worldcat.org/oclc/15606936","WorldCat Record")</f>
        <v/>
      </c>
      <c r="AW862" t="inlineStr">
        <is>
          <t>362390193:spa</t>
        </is>
      </c>
      <c r="AX862" t="inlineStr">
        <is>
          <t>15606936</t>
        </is>
      </c>
      <c r="AY862" t="inlineStr">
        <is>
          <t>991001044639702656</t>
        </is>
      </c>
      <c r="AZ862" t="inlineStr">
        <is>
          <t>991001044639702656</t>
        </is>
      </c>
      <c r="BA862" t="inlineStr">
        <is>
          <t>2269114410002656</t>
        </is>
      </c>
      <c r="BB862" t="inlineStr">
        <is>
          <t>BOOK</t>
        </is>
      </c>
      <c r="BD862" t="inlineStr">
        <is>
          <t>9789681605421</t>
        </is>
      </c>
      <c r="BE862" t="inlineStr">
        <is>
          <t>32285002080371</t>
        </is>
      </c>
      <c r="BF862" t="inlineStr">
        <is>
          <t>893255960</t>
        </is>
      </c>
    </row>
    <row r="863">
      <c r="A863" t="inlineStr">
        <is>
          <t>No</t>
        </is>
      </c>
      <c r="B863" t="inlineStr">
        <is>
          <t>CURAL</t>
        </is>
      </c>
      <c r="C863" t="inlineStr">
        <is>
          <t>SHELVES</t>
        </is>
      </c>
      <c r="D863" t="inlineStr">
        <is>
          <t>PQ7251 .D67 2001</t>
        </is>
      </c>
      <c r="E863" t="inlineStr">
        <is>
          <t>0                      PQ 7251000D  67          2001</t>
        </is>
      </c>
      <c r="F863" t="inlineStr">
        <is>
          <t>Dos siglos de poesía mexicana : del XIX al fin del milenio : una antología / selección, prólogo y notas de Juan Domingo Argüelles.</t>
        </is>
      </c>
      <c r="H863" t="inlineStr">
        <is>
          <t>No</t>
        </is>
      </c>
      <c r="I863" t="inlineStr">
        <is>
          <t>1</t>
        </is>
      </c>
      <c r="J863" t="inlineStr">
        <is>
          <t>No</t>
        </is>
      </c>
      <c r="K863" t="inlineStr">
        <is>
          <t>No</t>
        </is>
      </c>
      <c r="L863" t="inlineStr">
        <is>
          <t>0</t>
        </is>
      </c>
      <c r="N863" t="inlineStr">
        <is>
          <t>México, D.F. : Océano, c2001.</t>
        </is>
      </c>
      <c r="O863" t="inlineStr">
        <is>
          <t>2001</t>
        </is>
      </c>
      <c r="P863" t="inlineStr">
        <is>
          <t>1. ed.</t>
        </is>
      </c>
      <c r="Q863" t="inlineStr">
        <is>
          <t>spa</t>
        </is>
      </c>
      <c r="R863" t="inlineStr">
        <is>
          <t xml:space="preserve">mx </t>
        </is>
      </c>
      <c r="S863" t="inlineStr">
        <is>
          <t>Intemporales</t>
        </is>
      </c>
      <c r="T863" t="inlineStr">
        <is>
          <t xml:space="preserve">PQ </t>
        </is>
      </c>
      <c r="U863" t="n">
        <v>1</v>
      </c>
      <c r="V863" t="n">
        <v>1</v>
      </c>
      <c r="W863" t="inlineStr">
        <is>
          <t>2002-05-08</t>
        </is>
      </c>
      <c r="X863" t="inlineStr">
        <is>
          <t>2002-05-08</t>
        </is>
      </c>
      <c r="Y863" t="inlineStr">
        <is>
          <t>2002-04-30</t>
        </is>
      </c>
      <c r="Z863" t="inlineStr">
        <is>
          <t>2002-04-30</t>
        </is>
      </c>
      <c r="AA863" t="n">
        <v>183</v>
      </c>
      <c r="AB863" t="n">
        <v>171</v>
      </c>
      <c r="AC863" t="n">
        <v>174</v>
      </c>
      <c r="AD863" t="n">
        <v>1</v>
      </c>
      <c r="AE863" t="n">
        <v>1</v>
      </c>
      <c r="AF863" t="n">
        <v>1</v>
      </c>
      <c r="AG863" t="n">
        <v>1</v>
      </c>
      <c r="AH863" t="n">
        <v>0</v>
      </c>
      <c r="AI863" t="n">
        <v>0</v>
      </c>
      <c r="AJ863" t="n">
        <v>0</v>
      </c>
      <c r="AK863" t="n">
        <v>0</v>
      </c>
      <c r="AL863" t="n">
        <v>1</v>
      </c>
      <c r="AM863" t="n">
        <v>1</v>
      </c>
      <c r="AN863" t="n">
        <v>0</v>
      </c>
      <c r="AO863" t="n">
        <v>0</v>
      </c>
      <c r="AP863" t="n">
        <v>0</v>
      </c>
      <c r="AQ863" t="n">
        <v>0</v>
      </c>
      <c r="AR863" t="inlineStr">
        <is>
          <t>No</t>
        </is>
      </c>
      <c r="AS863" t="inlineStr">
        <is>
          <t>Yes</t>
        </is>
      </c>
      <c r="AT863">
        <f>HYPERLINK("http://catalog.hathitrust.org/Record/004260168","HathiTrust Record")</f>
        <v/>
      </c>
      <c r="AU863">
        <f>HYPERLINK("https://creighton-primo.hosted.exlibrisgroup.com/primo-explore/search?tab=default_tab&amp;search_scope=EVERYTHING&amp;vid=01CRU&amp;lang=en_US&amp;offset=0&amp;query=any,contains,991003772349702656","Catalog Record")</f>
        <v/>
      </c>
      <c r="AV863">
        <f>HYPERLINK("http://www.worldcat.org/oclc/47633061","WorldCat Record")</f>
        <v/>
      </c>
      <c r="AW863" t="inlineStr">
        <is>
          <t>36961008:spa</t>
        </is>
      </c>
      <c r="AX863" t="inlineStr">
        <is>
          <t>47633061</t>
        </is>
      </c>
      <c r="AY863" t="inlineStr">
        <is>
          <t>991003772349702656</t>
        </is>
      </c>
      <c r="AZ863" t="inlineStr">
        <is>
          <t>991003772349702656</t>
        </is>
      </c>
      <c r="BA863" t="inlineStr">
        <is>
          <t>2270295850002656</t>
        </is>
      </c>
      <c r="BB863" t="inlineStr">
        <is>
          <t>BOOK</t>
        </is>
      </c>
      <c r="BD863" t="inlineStr">
        <is>
          <t>9789706514882</t>
        </is>
      </c>
      <c r="BE863" t="inlineStr">
        <is>
          <t>32285004484878</t>
        </is>
      </c>
      <c r="BF863" t="inlineStr">
        <is>
          <t>893441713</t>
        </is>
      </c>
    </row>
    <row r="864">
      <c r="A864" t="inlineStr">
        <is>
          <t>No</t>
        </is>
      </c>
      <c r="B864" t="inlineStr">
        <is>
          <t>CURAL</t>
        </is>
      </c>
      <c r="C864" t="inlineStr">
        <is>
          <t>SHELVES</t>
        </is>
      </c>
      <c r="D864" t="inlineStr">
        <is>
          <t>PQ7257 .A57 1999</t>
        </is>
      </c>
      <c r="E864" t="inlineStr">
        <is>
          <t>0                      PQ 7257000A  57          1999</t>
        </is>
      </c>
      <c r="F864" t="inlineStr">
        <is>
          <t>Antología del modernismo, 1884-1921 : tomos I y II en un volumen / introducción, selección y notas, José Emilio Pacheco.</t>
        </is>
      </c>
      <c r="H864" t="inlineStr">
        <is>
          <t>No</t>
        </is>
      </c>
      <c r="I864" t="inlineStr">
        <is>
          <t>1</t>
        </is>
      </c>
      <c r="J864" t="inlineStr">
        <is>
          <t>No</t>
        </is>
      </c>
      <c r="K864" t="inlineStr">
        <is>
          <t>No</t>
        </is>
      </c>
      <c r="L864" t="inlineStr">
        <is>
          <t>0</t>
        </is>
      </c>
      <c r="N864" t="inlineStr">
        <is>
          <t>México : Universidad Nacional Autónoma de México ; Era, 1999.</t>
        </is>
      </c>
      <c r="O864" t="inlineStr">
        <is>
          <t>1999</t>
        </is>
      </c>
      <c r="P864" t="inlineStr">
        <is>
          <t>3a ed.</t>
        </is>
      </c>
      <c r="Q864" t="inlineStr">
        <is>
          <t>spa</t>
        </is>
      </c>
      <c r="R864" t="inlineStr">
        <is>
          <t xml:space="preserve">mx </t>
        </is>
      </c>
      <c r="S864" t="inlineStr">
        <is>
          <t>Biblioteca del estudiante universitario ; 90-91</t>
        </is>
      </c>
      <c r="T864" t="inlineStr">
        <is>
          <t xml:space="preserve">PQ </t>
        </is>
      </c>
      <c r="U864" t="n">
        <v>1</v>
      </c>
      <c r="V864" t="n">
        <v>1</v>
      </c>
      <c r="W864" t="inlineStr">
        <is>
          <t>2005-02-07</t>
        </is>
      </c>
      <c r="X864" t="inlineStr">
        <is>
          <t>2005-02-07</t>
        </is>
      </c>
      <c r="Y864" t="inlineStr">
        <is>
          <t>2002-04-30</t>
        </is>
      </c>
      <c r="Z864" t="inlineStr">
        <is>
          <t>2002-04-30</t>
        </is>
      </c>
      <c r="AA864" t="n">
        <v>61</v>
      </c>
      <c r="AB864" t="n">
        <v>47</v>
      </c>
      <c r="AC864" t="n">
        <v>200</v>
      </c>
      <c r="AD864" t="n">
        <v>1</v>
      </c>
      <c r="AE864" t="n">
        <v>2</v>
      </c>
      <c r="AF864" t="n">
        <v>2</v>
      </c>
      <c r="AG864" t="n">
        <v>5</v>
      </c>
      <c r="AH864" t="n">
        <v>0</v>
      </c>
      <c r="AI864" t="n">
        <v>1</v>
      </c>
      <c r="AJ864" t="n">
        <v>1</v>
      </c>
      <c r="AK864" t="n">
        <v>2</v>
      </c>
      <c r="AL864" t="n">
        <v>2</v>
      </c>
      <c r="AM864" t="n">
        <v>3</v>
      </c>
      <c r="AN864" t="n">
        <v>0</v>
      </c>
      <c r="AO864" t="n">
        <v>1</v>
      </c>
      <c r="AP864" t="n">
        <v>0</v>
      </c>
      <c r="AQ864" t="n">
        <v>0</v>
      </c>
      <c r="AR864" t="inlineStr">
        <is>
          <t>No</t>
        </is>
      </c>
      <c r="AS864" t="inlineStr">
        <is>
          <t>No</t>
        </is>
      </c>
      <c r="AU864">
        <f>HYPERLINK("https://creighton-primo.hosted.exlibrisgroup.com/primo-explore/search?tab=default_tab&amp;search_scope=EVERYTHING&amp;vid=01CRU&amp;lang=en_US&amp;offset=0&amp;query=any,contains,991003772419702656","Catalog Record")</f>
        <v/>
      </c>
      <c r="AV864">
        <f>HYPERLINK("http://www.worldcat.org/oclc/52405721","WorldCat Record")</f>
        <v/>
      </c>
      <c r="AW864" t="inlineStr">
        <is>
          <t>5534173621:spa</t>
        </is>
      </c>
      <c r="AX864" t="inlineStr">
        <is>
          <t>52405721</t>
        </is>
      </c>
      <c r="AY864" t="inlineStr">
        <is>
          <t>991003772419702656</t>
        </is>
      </c>
      <c r="AZ864" t="inlineStr">
        <is>
          <t>991003772419702656</t>
        </is>
      </c>
      <c r="BA864" t="inlineStr">
        <is>
          <t>2261023070002656</t>
        </is>
      </c>
      <c r="BB864" t="inlineStr">
        <is>
          <t>BOOK</t>
        </is>
      </c>
      <c r="BD864" t="inlineStr">
        <is>
          <t>9789683661562</t>
        </is>
      </c>
      <c r="BE864" t="inlineStr">
        <is>
          <t>32285004484746</t>
        </is>
      </c>
      <c r="BF864" t="inlineStr">
        <is>
          <t>893592870</t>
        </is>
      </c>
    </row>
    <row r="865">
      <c r="A865" t="inlineStr">
        <is>
          <t>No</t>
        </is>
      </c>
      <c r="B865" t="inlineStr">
        <is>
          <t>CURAL</t>
        </is>
      </c>
      <c r="C865" t="inlineStr">
        <is>
          <t>SHELVES</t>
        </is>
      </c>
      <c r="D865" t="inlineStr">
        <is>
          <t>PQ7258 .A63 1977</t>
        </is>
      </c>
      <c r="E865" t="inlineStr">
        <is>
          <t>0                      PQ 7258000A  63          1977</t>
        </is>
      </c>
      <c r="F865" t="inlineStr">
        <is>
          <t>Antología de la poesía mexicana moderna / seleccion, introduccion, comentarios y notas de Andrew P. Debicki.</t>
        </is>
      </c>
      <c r="H865" t="inlineStr">
        <is>
          <t>No</t>
        </is>
      </c>
      <c r="I865" t="inlineStr">
        <is>
          <t>1</t>
        </is>
      </c>
      <c r="J865" t="inlineStr">
        <is>
          <t>No</t>
        </is>
      </c>
      <c r="K865" t="inlineStr">
        <is>
          <t>No</t>
        </is>
      </c>
      <c r="L865" t="inlineStr">
        <is>
          <t>0</t>
        </is>
      </c>
      <c r="N865" t="inlineStr">
        <is>
          <t>London : Tamesis, 1977.</t>
        </is>
      </c>
      <c r="O865" t="inlineStr">
        <is>
          <t>1977</t>
        </is>
      </c>
      <c r="Q865" t="inlineStr">
        <is>
          <t>spa</t>
        </is>
      </c>
      <c r="R865" t="inlineStr">
        <is>
          <t>enk</t>
        </is>
      </c>
      <c r="S865" t="inlineStr">
        <is>
          <t>Colección Támesis. Serie B, Textos ; 20</t>
        </is>
      </c>
      <c r="T865" t="inlineStr">
        <is>
          <t xml:space="preserve">PQ </t>
        </is>
      </c>
      <c r="U865" t="n">
        <v>6</v>
      </c>
      <c r="V865" t="n">
        <v>6</v>
      </c>
      <c r="W865" t="inlineStr">
        <is>
          <t>1995-06-05</t>
        </is>
      </c>
      <c r="X865" t="inlineStr">
        <is>
          <t>1995-06-05</t>
        </is>
      </c>
      <c r="Y865" t="inlineStr">
        <is>
          <t>1992-02-01</t>
        </is>
      </c>
      <c r="Z865" t="inlineStr">
        <is>
          <t>1992-02-01</t>
        </is>
      </c>
      <c r="AA865" t="n">
        <v>138</v>
      </c>
      <c r="AB865" t="n">
        <v>124</v>
      </c>
      <c r="AC865" t="n">
        <v>205</v>
      </c>
      <c r="AD865" t="n">
        <v>3</v>
      </c>
      <c r="AE865" t="n">
        <v>3</v>
      </c>
      <c r="AF865" t="n">
        <v>7</v>
      </c>
      <c r="AG865" t="n">
        <v>9</v>
      </c>
      <c r="AH865" t="n">
        <v>2</v>
      </c>
      <c r="AI865" t="n">
        <v>2</v>
      </c>
      <c r="AJ865" t="n">
        <v>2</v>
      </c>
      <c r="AK865" t="n">
        <v>2</v>
      </c>
      <c r="AL865" t="n">
        <v>2</v>
      </c>
      <c r="AM865" t="n">
        <v>4</v>
      </c>
      <c r="AN865" t="n">
        <v>2</v>
      </c>
      <c r="AO865" t="n">
        <v>2</v>
      </c>
      <c r="AP865" t="n">
        <v>0</v>
      </c>
      <c r="AQ865" t="n">
        <v>0</v>
      </c>
      <c r="AR865" t="inlineStr">
        <is>
          <t>No</t>
        </is>
      </c>
      <c r="AS865" t="inlineStr">
        <is>
          <t>No</t>
        </is>
      </c>
      <c r="AU865">
        <f>HYPERLINK("https://creighton-primo.hosted.exlibrisgroup.com/primo-explore/search?tab=default_tab&amp;search_scope=EVERYTHING&amp;vid=01CRU&amp;lang=en_US&amp;offset=0&amp;query=any,contains,991004561279702656","Catalog Record")</f>
        <v/>
      </c>
      <c r="AV865">
        <f>HYPERLINK("http://www.worldcat.org/oclc/4001856","WorldCat Record")</f>
        <v/>
      </c>
      <c r="AW865" t="inlineStr">
        <is>
          <t>53661354:spa</t>
        </is>
      </c>
      <c r="AX865" t="inlineStr">
        <is>
          <t>4001856</t>
        </is>
      </c>
      <c r="AY865" t="inlineStr">
        <is>
          <t>991004561279702656</t>
        </is>
      </c>
      <c r="AZ865" t="inlineStr">
        <is>
          <t>991004561279702656</t>
        </is>
      </c>
      <c r="BA865" t="inlineStr">
        <is>
          <t>2268759710002656</t>
        </is>
      </c>
      <c r="BB865" t="inlineStr">
        <is>
          <t>BOOK</t>
        </is>
      </c>
      <c r="BD865" t="inlineStr">
        <is>
          <t>9780729300285</t>
        </is>
      </c>
      <c r="BE865" t="inlineStr">
        <is>
          <t>32285000868074</t>
        </is>
      </c>
      <c r="BF865" t="inlineStr">
        <is>
          <t>893719087</t>
        </is>
      </c>
    </row>
    <row r="866">
      <c r="A866" t="inlineStr">
        <is>
          <t>No</t>
        </is>
      </c>
      <c r="B866" t="inlineStr">
        <is>
          <t>CURAL</t>
        </is>
      </c>
      <c r="C866" t="inlineStr">
        <is>
          <t>SHELVES</t>
        </is>
      </c>
      <c r="D866" t="inlineStr">
        <is>
          <t>PQ7258 .A7</t>
        </is>
      </c>
      <c r="E866" t="inlineStr">
        <is>
          <t>0                      PQ 7258000A  7</t>
        </is>
      </c>
      <c r="F866" t="inlineStr">
        <is>
          <t>Antología de los 50 [i.e. cincuenta] poetas contemporáneos de México.</t>
        </is>
      </c>
      <c r="H866" t="inlineStr">
        <is>
          <t>No</t>
        </is>
      </c>
      <c r="I866" t="inlineStr">
        <is>
          <t>1</t>
        </is>
      </c>
      <c r="J866" t="inlineStr">
        <is>
          <t>No</t>
        </is>
      </c>
      <c r="K866" t="inlineStr">
        <is>
          <t>No</t>
        </is>
      </c>
      <c r="L866" t="inlineStr">
        <is>
          <t>0</t>
        </is>
      </c>
      <c r="M866" t="inlineStr">
        <is>
          <t>Arellano, Jesús, editor.</t>
        </is>
      </c>
      <c r="O866" t="inlineStr">
        <is>
          <t>1952</t>
        </is>
      </c>
      <c r="Q866" t="inlineStr">
        <is>
          <t>spa</t>
        </is>
      </c>
      <c r="R866" t="inlineStr">
        <is>
          <t xml:space="preserve">xx </t>
        </is>
      </c>
      <c r="T866" t="inlineStr">
        <is>
          <t xml:space="preserve">PQ </t>
        </is>
      </c>
      <c r="U866" t="n">
        <v>2</v>
      </c>
      <c r="V866" t="n">
        <v>2</v>
      </c>
      <c r="W866" t="inlineStr">
        <is>
          <t>2004-04-01</t>
        </is>
      </c>
      <c r="X866" t="inlineStr">
        <is>
          <t>2004-04-01</t>
        </is>
      </c>
      <c r="Y866" t="inlineStr">
        <is>
          <t>1997-10-01</t>
        </is>
      </c>
      <c r="Z866" t="inlineStr">
        <is>
          <t>1997-10-01</t>
        </is>
      </c>
      <c r="AA866" t="n">
        <v>58</v>
      </c>
      <c r="AB866" t="n">
        <v>50</v>
      </c>
      <c r="AC866" t="n">
        <v>52</v>
      </c>
      <c r="AD866" t="n">
        <v>2</v>
      </c>
      <c r="AE866" t="n">
        <v>2</v>
      </c>
      <c r="AF866" t="n">
        <v>1</v>
      </c>
      <c r="AG866" t="n">
        <v>1</v>
      </c>
      <c r="AH866" t="n">
        <v>0</v>
      </c>
      <c r="AI866" t="n">
        <v>0</v>
      </c>
      <c r="AJ866" t="n">
        <v>0</v>
      </c>
      <c r="AK866" t="n">
        <v>0</v>
      </c>
      <c r="AL866" t="n">
        <v>0</v>
      </c>
      <c r="AM866" t="n">
        <v>0</v>
      </c>
      <c r="AN866" t="n">
        <v>1</v>
      </c>
      <c r="AO866" t="n">
        <v>1</v>
      </c>
      <c r="AP866" t="n">
        <v>0</v>
      </c>
      <c r="AQ866" t="n">
        <v>0</v>
      </c>
      <c r="AR866" t="inlineStr">
        <is>
          <t>No</t>
        </is>
      </c>
      <c r="AS866" t="inlineStr">
        <is>
          <t>Yes</t>
        </is>
      </c>
      <c r="AT866">
        <f>HYPERLINK("http://catalog.hathitrust.org/Record/001048176","HathiTrust Record")</f>
        <v/>
      </c>
      <c r="AU866">
        <f>HYPERLINK("https://creighton-primo.hosted.exlibrisgroup.com/primo-explore/search?tab=default_tab&amp;search_scope=EVERYTHING&amp;vid=01CRU&amp;lang=en_US&amp;offset=0&amp;query=any,contains,991004962609702656","Catalog Record")</f>
        <v/>
      </c>
      <c r="AV866">
        <f>HYPERLINK("http://www.worldcat.org/oclc/6318594","WorldCat Record")</f>
        <v/>
      </c>
      <c r="AW866" t="inlineStr">
        <is>
          <t>1808186231:spa</t>
        </is>
      </c>
      <c r="AX866" t="inlineStr">
        <is>
          <t>6318594</t>
        </is>
      </c>
      <c r="AY866" t="inlineStr">
        <is>
          <t>991004962609702656</t>
        </is>
      </c>
      <c r="AZ866" t="inlineStr">
        <is>
          <t>991004962609702656</t>
        </is>
      </c>
      <c r="BA866" t="inlineStr">
        <is>
          <t>2261581770002656</t>
        </is>
      </c>
      <c r="BB866" t="inlineStr">
        <is>
          <t>BOOK</t>
        </is>
      </c>
      <c r="BE866" t="inlineStr">
        <is>
          <t>32285003236923</t>
        </is>
      </c>
      <c r="BF866" t="inlineStr">
        <is>
          <t>893319830</t>
        </is>
      </c>
    </row>
    <row r="867">
      <c r="A867" t="inlineStr">
        <is>
          <t>No</t>
        </is>
      </c>
      <c r="B867" t="inlineStr">
        <is>
          <t>CURAL</t>
        </is>
      </c>
      <c r="C867" t="inlineStr">
        <is>
          <t>SHELVES</t>
        </is>
      </c>
      <c r="D867" t="inlineStr">
        <is>
          <t>PQ7276.2.W65 L8 1996</t>
        </is>
      </c>
      <c r="E867" t="inlineStr">
        <is>
          <t>0                      PQ 7276200W  65                 L  8           1996</t>
        </is>
      </c>
      <c r="F867" t="inlineStr">
        <is>
          <t>La luna de miel según Eva / Beatriz Escalante ... [et al.] ; compilación, Beatriz Escalante ; fotografías, Gabriela Bautista.</t>
        </is>
      </c>
      <c r="H867" t="inlineStr">
        <is>
          <t>No</t>
        </is>
      </c>
      <c r="I867" t="inlineStr">
        <is>
          <t>1</t>
        </is>
      </c>
      <c r="J867" t="inlineStr">
        <is>
          <t>No</t>
        </is>
      </c>
      <c r="K867" t="inlineStr">
        <is>
          <t>No</t>
        </is>
      </c>
      <c r="L867" t="inlineStr">
        <is>
          <t>0</t>
        </is>
      </c>
      <c r="N867" t="inlineStr">
        <is>
          <t>México, D.F. : Selector, 1996.</t>
        </is>
      </c>
      <c r="O867" t="inlineStr">
        <is>
          <t>1996</t>
        </is>
      </c>
      <c r="P867" t="inlineStr">
        <is>
          <t>1. ed.</t>
        </is>
      </c>
      <c r="Q867" t="inlineStr">
        <is>
          <t>spa</t>
        </is>
      </c>
      <c r="R867" t="inlineStr">
        <is>
          <t xml:space="preserve">mx </t>
        </is>
      </c>
      <c r="S867" t="inlineStr">
        <is>
          <t>Colección Aura</t>
        </is>
      </c>
      <c r="T867" t="inlineStr">
        <is>
          <t xml:space="preserve">PQ </t>
        </is>
      </c>
      <c r="U867" t="n">
        <v>3</v>
      </c>
      <c r="V867" t="n">
        <v>3</v>
      </c>
      <c r="W867" t="inlineStr">
        <is>
          <t>2000-03-06</t>
        </is>
      </c>
      <c r="X867" t="inlineStr">
        <is>
          <t>2000-03-06</t>
        </is>
      </c>
      <c r="Y867" t="inlineStr">
        <is>
          <t>1998-08-06</t>
        </is>
      </c>
      <c r="Z867" t="inlineStr">
        <is>
          <t>1998-08-06</t>
        </is>
      </c>
      <c r="AA867" t="n">
        <v>95</v>
      </c>
      <c r="AB867" t="n">
        <v>85</v>
      </c>
      <c r="AC867" t="n">
        <v>92</v>
      </c>
      <c r="AD867" t="n">
        <v>1</v>
      </c>
      <c r="AE867" t="n">
        <v>1</v>
      </c>
      <c r="AF867" t="n">
        <v>1</v>
      </c>
      <c r="AG867" t="n">
        <v>1</v>
      </c>
      <c r="AH867" t="n">
        <v>1</v>
      </c>
      <c r="AI867" t="n">
        <v>1</v>
      </c>
      <c r="AJ867" t="n">
        <v>0</v>
      </c>
      <c r="AK867" t="n">
        <v>0</v>
      </c>
      <c r="AL867" t="n">
        <v>0</v>
      </c>
      <c r="AM867" t="n">
        <v>0</v>
      </c>
      <c r="AN867" t="n">
        <v>0</v>
      </c>
      <c r="AO867" t="n">
        <v>0</v>
      </c>
      <c r="AP867" t="n">
        <v>0</v>
      </c>
      <c r="AQ867" t="n">
        <v>0</v>
      </c>
      <c r="AR867" t="inlineStr">
        <is>
          <t>No</t>
        </is>
      </c>
      <c r="AS867" t="inlineStr">
        <is>
          <t>Yes</t>
        </is>
      </c>
      <c r="AT867">
        <f>HYPERLINK("http://catalog.hathitrust.org/Record/008321486","HathiTrust Record")</f>
        <v/>
      </c>
      <c r="AU867">
        <f>HYPERLINK("https://creighton-primo.hosted.exlibrisgroup.com/primo-explore/search?tab=default_tab&amp;search_scope=EVERYTHING&amp;vid=01CRU&amp;lang=en_US&amp;offset=0&amp;query=any,contains,991002731289702656","Catalog Record")</f>
        <v/>
      </c>
      <c r="AV867">
        <f>HYPERLINK("http://www.worldcat.org/oclc/35825491","WorldCat Record")</f>
        <v/>
      </c>
      <c r="AW867" t="inlineStr">
        <is>
          <t>40962880:spa</t>
        </is>
      </c>
      <c r="AX867" t="inlineStr">
        <is>
          <t>35825491</t>
        </is>
      </c>
      <c r="AY867" t="inlineStr">
        <is>
          <t>991002731289702656</t>
        </is>
      </c>
      <c r="AZ867" t="inlineStr">
        <is>
          <t>991002731289702656</t>
        </is>
      </c>
      <c r="BA867" t="inlineStr">
        <is>
          <t>2261677950002656</t>
        </is>
      </c>
      <c r="BB867" t="inlineStr">
        <is>
          <t>BOOK</t>
        </is>
      </c>
      <c r="BD867" t="inlineStr">
        <is>
          <t>9789684039155</t>
        </is>
      </c>
      <c r="BE867" t="inlineStr">
        <is>
          <t>32285003450201</t>
        </is>
      </c>
      <c r="BF867" t="inlineStr">
        <is>
          <t>893239425</t>
        </is>
      </c>
    </row>
    <row r="868">
      <c r="A868" t="inlineStr">
        <is>
          <t>No</t>
        </is>
      </c>
      <c r="B868" t="inlineStr">
        <is>
          <t>CURAL</t>
        </is>
      </c>
      <c r="C868" t="inlineStr">
        <is>
          <t>SHELVES</t>
        </is>
      </c>
      <c r="D868" t="inlineStr">
        <is>
          <t>PQ7291.C52 C553 1999</t>
        </is>
      </c>
      <c r="E868" t="inlineStr">
        <is>
          <t>0                      PQ 7291000C  52                 C  553         1999</t>
        </is>
      </c>
      <c r="F868" t="inlineStr">
        <is>
          <t>Chiapas : dimensión social de la narrativa / Oscar Wong.</t>
        </is>
      </c>
      <c r="H868" t="inlineStr">
        <is>
          <t>No</t>
        </is>
      </c>
      <c r="I868" t="inlineStr">
        <is>
          <t>1</t>
        </is>
      </c>
      <c r="J868" t="inlineStr">
        <is>
          <t>No</t>
        </is>
      </c>
      <c r="K868" t="inlineStr">
        <is>
          <t>No</t>
        </is>
      </c>
      <c r="L868" t="inlineStr">
        <is>
          <t>0</t>
        </is>
      </c>
      <c r="N868" t="inlineStr">
        <is>
          <t>Col. del Valle, México : Edamex, c1999.</t>
        </is>
      </c>
      <c r="O868" t="inlineStr">
        <is>
          <t>1999</t>
        </is>
      </c>
      <c r="Q868" t="inlineStr">
        <is>
          <t>spa</t>
        </is>
      </c>
      <c r="R868" t="inlineStr">
        <is>
          <t xml:space="preserve">mx </t>
        </is>
      </c>
      <c r="T868" t="inlineStr">
        <is>
          <t xml:space="preserve">PQ </t>
        </is>
      </c>
      <c r="U868" t="n">
        <v>1</v>
      </c>
      <c r="V868" t="n">
        <v>1</v>
      </c>
      <c r="W868" t="inlineStr">
        <is>
          <t>2000-11-08</t>
        </is>
      </c>
      <c r="X868" t="inlineStr">
        <is>
          <t>2000-11-08</t>
        </is>
      </c>
      <c r="Y868" t="inlineStr">
        <is>
          <t>2000-11-08</t>
        </is>
      </c>
      <c r="Z868" t="inlineStr">
        <is>
          <t>2000-11-08</t>
        </is>
      </c>
      <c r="AA868" t="n">
        <v>87</v>
      </c>
      <c r="AB868" t="n">
        <v>77</v>
      </c>
      <c r="AC868" t="n">
        <v>79</v>
      </c>
      <c r="AD868" t="n">
        <v>1</v>
      </c>
      <c r="AE868" t="n">
        <v>1</v>
      </c>
      <c r="AF868" t="n">
        <v>3</v>
      </c>
      <c r="AG868" t="n">
        <v>3</v>
      </c>
      <c r="AH868" t="n">
        <v>1</v>
      </c>
      <c r="AI868" t="n">
        <v>1</v>
      </c>
      <c r="AJ868" t="n">
        <v>1</v>
      </c>
      <c r="AK868" t="n">
        <v>1</v>
      </c>
      <c r="AL868" t="n">
        <v>3</v>
      </c>
      <c r="AM868" t="n">
        <v>3</v>
      </c>
      <c r="AN868" t="n">
        <v>0</v>
      </c>
      <c r="AO868" t="n">
        <v>0</v>
      </c>
      <c r="AP868" t="n">
        <v>0</v>
      </c>
      <c r="AQ868" t="n">
        <v>0</v>
      </c>
      <c r="AR868" t="inlineStr">
        <is>
          <t>No</t>
        </is>
      </c>
      <c r="AS868" t="inlineStr">
        <is>
          <t>Yes</t>
        </is>
      </c>
      <c r="AT868">
        <f>HYPERLINK("http://catalog.hathitrust.org/Record/004056891","HathiTrust Record")</f>
        <v/>
      </c>
      <c r="AU868">
        <f>HYPERLINK("https://creighton-primo.hosted.exlibrisgroup.com/primo-explore/search?tab=default_tab&amp;search_scope=EVERYTHING&amp;vid=01CRU&amp;lang=en_US&amp;offset=0&amp;query=any,contains,991003255099702656","Catalog Record")</f>
        <v/>
      </c>
      <c r="AV868">
        <f>HYPERLINK("http://www.worldcat.org/oclc/41870977","WorldCat Record")</f>
        <v/>
      </c>
      <c r="AW868" t="inlineStr">
        <is>
          <t>918651086:spa</t>
        </is>
      </c>
      <c r="AX868" t="inlineStr">
        <is>
          <t>41870977</t>
        </is>
      </c>
      <c r="AY868" t="inlineStr">
        <is>
          <t>991003255099702656</t>
        </is>
      </c>
      <c r="AZ868" t="inlineStr">
        <is>
          <t>991003255099702656</t>
        </is>
      </c>
      <c r="BA868" t="inlineStr">
        <is>
          <t>2264033670002656</t>
        </is>
      </c>
      <c r="BB868" t="inlineStr">
        <is>
          <t>BOOK</t>
        </is>
      </c>
      <c r="BD868" t="inlineStr">
        <is>
          <t>9789706610409</t>
        </is>
      </c>
      <c r="BE868" t="inlineStr">
        <is>
          <t>32285004264106</t>
        </is>
      </c>
      <c r="BF868" t="inlineStr">
        <is>
          <t>893336297</t>
        </is>
      </c>
    </row>
    <row r="869">
      <c r="A869" t="inlineStr">
        <is>
          <t>No</t>
        </is>
      </c>
      <c r="B869" t="inlineStr">
        <is>
          <t>CURAL</t>
        </is>
      </c>
      <c r="C869" t="inlineStr">
        <is>
          <t>SHELVES</t>
        </is>
      </c>
      <c r="D869" t="inlineStr">
        <is>
          <t>PQ7296.J6 Z624 1982</t>
        </is>
      </c>
      <c r="E869" t="inlineStr">
        <is>
          <t>0                      PQ 7296000J  6                  Z  624         1982</t>
        </is>
      </c>
      <c r="F869" t="inlineStr">
        <is>
          <t>Sor Juana y el "Primero sueño" / Octavio Castro López.</t>
        </is>
      </c>
      <c r="H869" t="inlineStr">
        <is>
          <t>No</t>
        </is>
      </c>
      <c r="I869" t="inlineStr">
        <is>
          <t>1</t>
        </is>
      </c>
      <c r="J869" t="inlineStr">
        <is>
          <t>No</t>
        </is>
      </c>
      <c r="K869" t="inlineStr">
        <is>
          <t>No</t>
        </is>
      </c>
      <c r="L869" t="inlineStr">
        <is>
          <t>0</t>
        </is>
      </c>
      <c r="M869" t="inlineStr">
        <is>
          <t>Castro López, Octavio.</t>
        </is>
      </c>
      <c r="N869" t="inlineStr">
        <is>
          <t>Xalapa, Ver., Mexico : Universidad Veracruzana, 1982.</t>
        </is>
      </c>
      <c r="O869" t="inlineStr">
        <is>
          <t>1982</t>
        </is>
      </c>
      <c r="Q869" t="inlineStr">
        <is>
          <t>spa</t>
        </is>
      </c>
      <c r="R869" t="inlineStr">
        <is>
          <t xml:space="preserve">mx </t>
        </is>
      </c>
      <c r="S869" t="inlineStr">
        <is>
          <t>Cuadernos del centro ; 12</t>
        </is>
      </c>
      <c r="T869" t="inlineStr">
        <is>
          <t xml:space="preserve">PQ </t>
        </is>
      </c>
      <c r="U869" t="n">
        <v>1</v>
      </c>
      <c r="V869" t="n">
        <v>1</v>
      </c>
      <c r="W869" t="inlineStr">
        <is>
          <t>2005-03-22</t>
        </is>
      </c>
      <c r="X869" t="inlineStr">
        <is>
          <t>2005-03-22</t>
        </is>
      </c>
      <c r="Y869" t="inlineStr">
        <is>
          <t>2005-03-22</t>
        </is>
      </c>
      <c r="Z869" t="inlineStr">
        <is>
          <t>2005-03-22</t>
        </is>
      </c>
      <c r="AA869" t="n">
        <v>85</v>
      </c>
      <c r="AB869" t="n">
        <v>69</v>
      </c>
      <c r="AC869" t="n">
        <v>74</v>
      </c>
      <c r="AD869" t="n">
        <v>1</v>
      </c>
      <c r="AE869" t="n">
        <v>1</v>
      </c>
      <c r="AF869" t="n">
        <v>2</v>
      </c>
      <c r="AG869" t="n">
        <v>2</v>
      </c>
      <c r="AH869" t="n">
        <v>0</v>
      </c>
      <c r="AI869" t="n">
        <v>0</v>
      </c>
      <c r="AJ869" t="n">
        <v>1</v>
      </c>
      <c r="AK869" t="n">
        <v>1</v>
      </c>
      <c r="AL869" t="n">
        <v>1</v>
      </c>
      <c r="AM869" t="n">
        <v>1</v>
      </c>
      <c r="AN869" t="n">
        <v>0</v>
      </c>
      <c r="AO869" t="n">
        <v>0</v>
      </c>
      <c r="AP869" t="n">
        <v>0</v>
      </c>
      <c r="AQ869" t="n">
        <v>0</v>
      </c>
      <c r="AR869" t="inlineStr">
        <is>
          <t>No</t>
        </is>
      </c>
      <c r="AS869" t="inlineStr">
        <is>
          <t>No</t>
        </is>
      </c>
      <c r="AU869">
        <f>HYPERLINK("https://creighton-primo.hosted.exlibrisgroup.com/primo-explore/search?tab=default_tab&amp;search_scope=EVERYTHING&amp;vid=01CRU&amp;lang=en_US&amp;offset=0&amp;query=any,contains,991004508629702656","Catalog Record")</f>
        <v/>
      </c>
      <c r="AV869">
        <f>HYPERLINK("http://www.worldcat.org/oclc/9764682","WorldCat Record")</f>
        <v/>
      </c>
      <c r="AW869" t="inlineStr">
        <is>
          <t>19674057:spa</t>
        </is>
      </c>
      <c r="AX869" t="inlineStr">
        <is>
          <t>9764682</t>
        </is>
      </c>
      <c r="AY869" t="inlineStr">
        <is>
          <t>991004508629702656</t>
        </is>
      </c>
      <c r="AZ869" t="inlineStr">
        <is>
          <t>991004508629702656</t>
        </is>
      </c>
      <c r="BA869" t="inlineStr">
        <is>
          <t>2261326900002656</t>
        </is>
      </c>
      <c r="BB869" t="inlineStr">
        <is>
          <t>BOOK</t>
        </is>
      </c>
      <c r="BD869" t="inlineStr">
        <is>
          <t>9789685900188</t>
        </is>
      </c>
      <c r="BE869" t="inlineStr">
        <is>
          <t>32285005029128</t>
        </is>
      </c>
      <c r="BF869" t="inlineStr">
        <is>
          <t>893411630</t>
        </is>
      </c>
    </row>
    <row r="870">
      <c r="A870" t="inlineStr">
        <is>
          <t>No</t>
        </is>
      </c>
      <c r="B870" t="inlineStr">
        <is>
          <t>CURAL</t>
        </is>
      </c>
      <c r="C870" t="inlineStr">
        <is>
          <t>SHELVES</t>
        </is>
      </c>
      <c r="D870" t="inlineStr">
        <is>
          <t>PQ7297.A1 C63</t>
        </is>
      </c>
      <c r="E870" t="inlineStr">
        <is>
          <t>0                      PQ 7297000A  1                  C  63</t>
        </is>
      </c>
      <c r="F870" t="inlineStr">
        <is>
          <t>"With his pistol in his hand," a border ballad and its hero.</t>
        </is>
      </c>
      <c r="H870" t="inlineStr">
        <is>
          <t>No</t>
        </is>
      </c>
      <c r="I870" t="inlineStr">
        <is>
          <t>1</t>
        </is>
      </c>
      <c r="J870" t="inlineStr">
        <is>
          <t>No</t>
        </is>
      </c>
      <c r="K870" t="inlineStr">
        <is>
          <t>No</t>
        </is>
      </c>
      <c r="L870" t="inlineStr">
        <is>
          <t>0</t>
        </is>
      </c>
      <c r="M870" t="inlineStr">
        <is>
          <t>Paredes, Américo, 1915-1999.</t>
        </is>
      </c>
      <c r="N870" t="inlineStr">
        <is>
          <t>Austin, University of Texas Press [1958]</t>
        </is>
      </c>
      <c r="O870" t="inlineStr">
        <is>
          <t>1958</t>
        </is>
      </c>
      <c r="Q870" t="inlineStr">
        <is>
          <t>eng</t>
        </is>
      </c>
      <c r="R870" t="inlineStr">
        <is>
          <t>txu</t>
        </is>
      </c>
      <c r="T870" t="inlineStr">
        <is>
          <t xml:space="preserve">PQ </t>
        </is>
      </c>
      <c r="U870" t="n">
        <v>3</v>
      </c>
      <c r="V870" t="n">
        <v>3</v>
      </c>
      <c r="W870" t="inlineStr">
        <is>
          <t>1998-10-05</t>
        </is>
      </c>
      <c r="X870" t="inlineStr">
        <is>
          <t>1998-10-05</t>
        </is>
      </c>
      <c r="Y870" t="inlineStr">
        <is>
          <t>1997-10-01</t>
        </is>
      </c>
      <c r="Z870" t="inlineStr">
        <is>
          <t>1997-10-01</t>
        </is>
      </c>
      <c r="AA870" t="n">
        <v>913</v>
      </c>
      <c r="AB870" t="n">
        <v>873</v>
      </c>
      <c r="AC870" t="n">
        <v>1037</v>
      </c>
      <c r="AD870" t="n">
        <v>5</v>
      </c>
      <c r="AE870" t="n">
        <v>5</v>
      </c>
      <c r="AF870" t="n">
        <v>21</v>
      </c>
      <c r="AG870" t="n">
        <v>29</v>
      </c>
      <c r="AH870" t="n">
        <v>7</v>
      </c>
      <c r="AI870" t="n">
        <v>12</v>
      </c>
      <c r="AJ870" t="n">
        <v>6</v>
      </c>
      <c r="AK870" t="n">
        <v>7</v>
      </c>
      <c r="AL870" t="n">
        <v>9</v>
      </c>
      <c r="AM870" t="n">
        <v>13</v>
      </c>
      <c r="AN870" t="n">
        <v>3</v>
      </c>
      <c r="AO870" t="n">
        <v>3</v>
      </c>
      <c r="AP870" t="n">
        <v>0</v>
      </c>
      <c r="AQ870" t="n">
        <v>0</v>
      </c>
      <c r="AR870" t="inlineStr">
        <is>
          <t>No</t>
        </is>
      </c>
      <c r="AS870" t="inlineStr">
        <is>
          <t>Yes</t>
        </is>
      </c>
      <c r="AT870">
        <f>HYPERLINK("http://catalog.hathitrust.org/Record/001369420","HathiTrust Record")</f>
        <v/>
      </c>
      <c r="AU870">
        <f>HYPERLINK("https://creighton-primo.hosted.exlibrisgroup.com/primo-explore/search?tab=default_tab&amp;search_scope=EVERYTHING&amp;vid=01CRU&amp;lang=en_US&amp;offset=0&amp;query=any,contains,991002226929702656","Catalog Record")</f>
        <v/>
      </c>
      <c r="AV870">
        <f>HYPERLINK("http://www.worldcat.org/oclc/291971","WorldCat Record")</f>
        <v/>
      </c>
      <c r="AW870" t="inlineStr">
        <is>
          <t>371161:eng</t>
        </is>
      </c>
      <c r="AX870" t="inlineStr">
        <is>
          <t>291971</t>
        </is>
      </c>
      <c r="AY870" t="inlineStr">
        <is>
          <t>991002226929702656</t>
        </is>
      </c>
      <c r="AZ870" t="inlineStr">
        <is>
          <t>991002226929702656</t>
        </is>
      </c>
      <c r="BA870" t="inlineStr">
        <is>
          <t>2268119190002656</t>
        </is>
      </c>
      <c r="BB870" t="inlineStr">
        <is>
          <t>BOOK</t>
        </is>
      </c>
      <c r="BE870" t="inlineStr">
        <is>
          <t>32285003236998</t>
        </is>
      </c>
      <c r="BF870" t="inlineStr">
        <is>
          <t>893257037</t>
        </is>
      </c>
    </row>
    <row r="871">
      <c r="A871" t="inlineStr">
        <is>
          <t>No</t>
        </is>
      </c>
      <c r="B871" t="inlineStr">
        <is>
          <t>CURAL</t>
        </is>
      </c>
      <c r="C871" t="inlineStr">
        <is>
          <t>SHELVES</t>
        </is>
      </c>
      <c r="D871" t="inlineStr">
        <is>
          <t>PQ7297.A6 Z2 1999</t>
        </is>
      </c>
      <c r="E871" t="inlineStr">
        <is>
          <t>0                      PQ 7297000A  6                  Z  2           1999</t>
        </is>
      </c>
      <c r="F871" t="inlineStr">
        <is>
          <t>El Zarco / Ignacio Manuel Altamirano ; prólogo de Carlos Monsiváis.</t>
        </is>
      </c>
      <c r="H871" t="inlineStr">
        <is>
          <t>No</t>
        </is>
      </c>
      <c r="I871" t="inlineStr">
        <is>
          <t>1</t>
        </is>
      </c>
      <c r="J871" t="inlineStr">
        <is>
          <t>No</t>
        </is>
      </c>
      <c r="K871" t="inlineStr">
        <is>
          <t>No</t>
        </is>
      </c>
      <c r="L871" t="inlineStr">
        <is>
          <t>0</t>
        </is>
      </c>
      <c r="M871" t="inlineStr">
        <is>
          <t>Altamirano, Ignacio Manuel, 1834-1893.</t>
        </is>
      </c>
      <c r="N871" t="inlineStr">
        <is>
          <t>México, D.F. : Océano, c1999.</t>
        </is>
      </c>
      <c r="O871" t="inlineStr">
        <is>
          <t>1999</t>
        </is>
      </c>
      <c r="P871" t="inlineStr">
        <is>
          <t>1a ed.</t>
        </is>
      </c>
      <c r="Q871" t="inlineStr">
        <is>
          <t>spa</t>
        </is>
      </c>
      <c r="R871" t="inlineStr">
        <is>
          <t xml:space="preserve">mx </t>
        </is>
      </c>
      <c r="S871" t="inlineStr">
        <is>
          <t>Biblioteca clásica y contemporánea (Editorio Océano de México)</t>
        </is>
      </c>
      <c r="T871" t="inlineStr">
        <is>
          <t xml:space="preserve">PQ </t>
        </is>
      </c>
      <c r="U871" t="n">
        <v>1</v>
      </c>
      <c r="V871" t="n">
        <v>1</v>
      </c>
      <c r="W871" t="inlineStr">
        <is>
          <t>2003-02-04</t>
        </is>
      </c>
      <c r="X871" t="inlineStr">
        <is>
          <t>2003-02-04</t>
        </is>
      </c>
      <c r="Y871" t="inlineStr">
        <is>
          <t>2003-02-04</t>
        </is>
      </c>
      <c r="Z871" t="inlineStr">
        <is>
          <t>2003-02-04</t>
        </is>
      </c>
      <c r="AA871" t="n">
        <v>26</v>
      </c>
      <c r="AB871" t="n">
        <v>20</v>
      </c>
      <c r="AC871" t="n">
        <v>179</v>
      </c>
      <c r="AD871" t="n">
        <v>1</v>
      </c>
      <c r="AE871" t="n">
        <v>2</v>
      </c>
      <c r="AF871" t="n">
        <v>1</v>
      </c>
      <c r="AG871" t="n">
        <v>7</v>
      </c>
      <c r="AH871" t="n">
        <v>0</v>
      </c>
      <c r="AI871" t="n">
        <v>2</v>
      </c>
      <c r="AJ871" t="n">
        <v>1</v>
      </c>
      <c r="AK871" t="n">
        <v>4</v>
      </c>
      <c r="AL871" t="n">
        <v>1</v>
      </c>
      <c r="AM871" t="n">
        <v>4</v>
      </c>
      <c r="AN871" t="n">
        <v>0</v>
      </c>
      <c r="AO871" t="n">
        <v>1</v>
      </c>
      <c r="AP871" t="n">
        <v>0</v>
      </c>
      <c r="AQ871" t="n">
        <v>0</v>
      </c>
      <c r="AR871" t="inlineStr">
        <is>
          <t>No</t>
        </is>
      </c>
      <c r="AS871" t="inlineStr">
        <is>
          <t>Yes</t>
        </is>
      </c>
      <c r="AT871">
        <f>HYPERLINK("http://catalog.hathitrust.org/Record/004271314","HathiTrust Record")</f>
        <v/>
      </c>
      <c r="AU871">
        <f>HYPERLINK("https://creighton-primo.hosted.exlibrisgroup.com/primo-explore/search?tab=default_tab&amp;search_scope=EVERYTHING&amp;vid=01CRU&amp;lang=en_US&amp;offset=0&amp;query=any,contains,991003925029702656","Catalog Record")</f>
        <v/>
      </c>
      <c r="AV871">
        <f>HYPERLINK("http://www.worldcat.org/oclc/41647939","WorldCat Record")</f>
        <v/>
      </c>
      <c r="AW871" t="inlineStr">
        <is>
          <t>198264438:spa</t>
        </is>
      </c>
      <c r="AX871" t="inlineStr">
        <is>
          <t>41647939</t>
        </is>
      </c>
      <c r="AY871" t="inlineStr">
        <is>
          <t>991003925029702656</t>
        </is>
      </c>
      <c r="AZ871" t="inlineStr">
        <is>
          <t>991003925029702656</t>
        </is>
      </c>
      <c r="BA871" t="inlineStr">
        <is>
          <t>2261167120002656</t>
        </is>
      </c>
      <c r="BB871" t="inlineStr">
        <is>
          <t>BOOK</t>
        </is>
      </c>
      <c r="BD871" t="inlineStr">
        <is>
          <t>9789706512222</t>
        </is>
      </c>
      <c r="BE871" t="inlineStr">
        <is>
          <t>32285004696968</t>
        </is>
      </c>
      <c r="BF871" t="inlineStr">
        <is>
          <t>893331000</t>
        </is>
      </c>
    </row>
    <row r="872">
      <c r="A872" t="inlineStr">
        <is>
          <t>No</t>
        </is>
      </c>
      <c r="B872" t="inlineStr">
        <is>
          <t>CURAL</t>
        </is>
      </c>
      <c r="C872" t="inlineStr">
        <is>
          <t>SHELVES</t>
        </is>
      </c>
      <c r="D872" t="inlineStr">
        <is>
          <t>PQ7297.A8365 A62 1998</t>
        </is>
      </c>
      <c r="E872" t="inlineStr">
        <is>
          <t>0                      PQ 7297000A  8365               A  62          1998</t>
        </is>
      </c>
      <c r="F872" t="inlineStr">
        <is>
          <t>1492 : vida y tiempos de Juan Cabezón de Castilla / Homero Aridjis.</t>
        </is>
      </c>
      <c r="H872" t="inlineStr">
        <is>
          <t>No</t>
        </is>
      </c>
      <c r="I872" t="inlineStr">
        <is>
          <t>1</t>
        </is>
      </c>
      <c r="J872" t="inlineStr">
        <is>
          <t>No</t>
        </is>
      </c>
      <c r="K872" t="inlineStr">
        <is>
          <t>No</t>
        </is>
      </c>
      <c r="L872" t="inlineStr">
        <is>
          <t>0</t>
        </is>
      </c>
      <c r="M872" t="inlineStr">
        <is>
          <t>Aridjis, Homero.</t>
        </is>
      </c>
      <c r="N872" t="inlineStr">
        <is>
          <t>Mexico : Consejo Nacional Para la Cultura y los Artes : Fondo de Cultura Economica, c1998.</t>
        </is>
      </c>
      <c r="O872" t="inlineStr">
        <is>
          <t>1998</t>
        </is>
      </c>
      <c r="Q872" t="inlineStr">
        <is>
          <t>spa</t>
        </is>
      </c>
      <c r="R872" t="inlineStr">
        <is>
          <t xml:space="preserve">mx </t>
        </is>
      </c>
      <c r="S872" t="inlineStr">
        <is>
          <t>Tierra firme</t>
        </is>
      </c>
      <c r="T872" t="inlineStr">
        <is>
          <t xml:space="preserve">PQ </t>
        </is>
      </c>
      <c r="U872" t="n">
        <v>2</v>
      </c>
      <c r="V872" t="n">
        <v>2</v>
      </c>
      <c r="W872" t="inlineStr">
        <is>
          <t>2001-05-16</t>
        </is>
      </c>
      <c r="X872" t="inlineStr">
        <is>
          <t>2001-05-16</t>
        </is>
      </c>
      <c r="Y872" t="inlineStr">
        <is>
          <t>2001-03-21</t>
        </is>
      </c>
      <c r="Z872" t="inlineStr">
        <is>
          <t>2001-03-21</t>
        </is>
      </c>
      <c r="AA872" t="n">
        <v>27</v>
      </c>
      <c r="AB872" t="n">
        <v>22</v>
      </c>
      <c r="AC872" t="n">
        <v>246</v>
      </c>
      <c r="AD872" t="n">
        <v>1</v>
      </c>
      <c r="AE872" t="n">
        <v>2</v>
      </c>
      <c r="AF872" t="n">
        <v>1</v>
      </c>
      <c r="AG872" t="n">
        <v>7</v>
      </c>
      <c r="AH872" t="n">
        <v>0</v>
      </c>
      <c r="AI872" t="n">
        <v>0</v>
      </c>
      <c r="AJ872" t="n">
        <v>0</v>
      </c>
      <c r="AK872" t="n">
        <v>3</v>
      </c>
      <c r="AL872" t="n">
        <v>1</v>
      </c>
      <c r="AM872" t="n">
        <v>3</v>
      </c>
      <c r="AN872" t="n">
        <v>0</v>
      </c>
      <c r="AO872" t="n">
        <v>1</v>
      </c>
      <c r="AP872" t="n">
        <v>0</v>
      </c>
      <c r="AQ872" t="n">
        <v>0</v>
      </c>
      <c r="AR872" t="inlineStr">
        <is>
          <t>No</t>
        </is>
      </c>
      <c r="AS872" t="inlineStr">
        <is>
          <t>No</t>
        </is>
      </c>
      <c r="AU872">
        <f>HYPERLINK("https://creighton-primo.hosted.exlibrisgroup.com/primo-explore/search?tab=default_tab&amp;search_scope=EVERYTHING&amp;vid=01CRU&amp;lang=en_US&amp;offset=0&amp;query=any,contains,991003516929702656","Catalog Record")</f>
        <v/>
      </c>
      <c r="AV872">
        <f>HYPERLINK("http://www.worldcat.org/oclc/43848353","WorldCat Record")</f>
        <v/>
      </c>
      <c r="AW872" t="inlineStr">
        <is>
          <t>27303324:spa</t>
        </is>
      </c>
      <c r="AX872" t="inlineStr">
        <is>
          <t>43848353</t>
        </is>
      </c>
      <c r="AY872" t="inlineStr">
        <is>
          <t>991003516929702656</t>
        </is>
      </c>
      <c r="AZ872" t="inlineStr">
        <is>
          <t>991003516929702656</t>
        </is>
      </c>
      <c r="BA872" t="inlineStr">
        <is>
          <t>2267811250002656</t>
        </is>
      </c>
      <c r="BB872" t="inlineStr">
        <is>
          <t>BOOK</t>
        </is>
      </c>
      <c r="BD872" t="inlineStr">
        <is>
          <t>9789681655341</t>
        </is>
      </c>
      <c r="BE872" t="inlineStr">
        <is>
          <t>32285004306451</t>
        </is>
      </c>
      <c r="BF872" t="inlineStr">
        <is>
          <t>893711433</t>
        </is>
      </c>
    </row>
    <row r="873">
      <c r="A873" t="inlineStr">
        <is>
          <t>No</t>
        </is>
      </c>
      <c r="B873" t="inlineStr">
        <is>
          <t>CURAL</t>
        </is>
      </c>
      <c r="C873" t="inlineStr">
        <is>
          <t>SHELVES</t>
        </is>
      </c>
      <c r="D873" t="inlineStr">
        <is>
          <t>PQ7297.A8365 P6 1997</t>
        </is>
      </c>
      <c r="E873" t="inlineStr">
        <is>
          <t>0                      PQ 7297000A  8365               P  6           1997</t>
        </is>
      </c>
      <c r="F873" t="inlineStr">
        <is>
          <t>El poeta niño / Homero Aridjis.</t>
        </is>
      </c>
      <c r="H873" t="inlineStr">
        <is>
          <t>No</t>
        </is>
      </c>
      <c r="I873" t="inlineStr">
        <is>
          <t>1</t>
        </is>
      </c>
      <c r="J873" t="inlineStr">
        <is>
          <t>No</t>
        </is>
      </c>
      <c r="K873" t="inlineStr">
        <is>
          <t>No</t>
        </is>
      </c>
      <c r="L873" t="inlineStr">
        <is>
          <t>0</t>
        </is>
      </c>
      <c r="M873" t="inlineStr">
        <is>
          <t>Aridjis, Homero.</t>
        </is>
      </c>
      <c r="N873" t="inlineStr">
        <is>
          <t>México : Fondo de Cultura Económica, 1997, c1971.</t>
        </is>
      </c>
      <c r="O873" t="inlineStr">
        <is>
          <t>1997</t>
        </is>
      </c>
      <c r="P873" t="inlineStr">
        <is>
          <t>4a ed.</t>
        </is>
      </c>
      <c r="Q873" t="inlineStr">
        <is>
          <t>spa</t>
        </is>
      </c>
      <c r="R873" t="inlineStr">
        <is>
          <t xml:space="preserve">mx </t>
        </is>
      </c>
      <c r="S873" t="inlineStr">
        <is>
          <t>Tierra firme</t>
        </is>
      </c>
      <c r="T873" t="inlineStr">
        <is>
          <t xml:space="preserve">PQ </t>
        </is>
      </c>
      <c r="U873" t="n">
        <v>2</v>
      </c>
      <c r="V873" t="n">
        <v>2</v>
      </c>
      <c r="W873" t="inlineStr">
        <is>
          <t>2001-05-16</t>
        </is>
      </c>
      <c r="X873" t="inlineStr">
        <is>
          <t>2001-05-16</t>
        </is>
      </c>
      <c r="Y873" t="inlineStr">
        <is>
          <t>2001-03-21</t>
        </is>
      </c>
      <c r="Z873" t="inlineStr">
        <is>
          <t>2001-03-21</t>
        </is>
      </c>
      <c r="AA873" t="n">
        <v>46</v>
      </c>
      <c r="AB873" t="n">
        <v>37</v>
      </c>
      <c r="AC873" t="n">
        <v>58</v>
      </c>
      <c r="AD873" t="n">
        <v>1</v>
      </c>
      <c r="AE873" t="n">
        <v>1</v>
      </c>
      <c r="AF873" t="n">
        <v>0</v>
      </c>
      <c r="AG873" t="n">
        <v>1</v>
      </c>
      <c r="AH873" t="n">
        <v>0</v>
      </c>
      <c r="AI873" t="n">
        <v>0</v>
      </c>
      <c r="AJ873" t="n">
        <v>0</v>
      </c>
      <c r="AK873" t="n">
        <v>1</v>
      </c>
      <c r="AL873" t="n">
        <v>0</v>
      </c>
      <c r="AM873" t="n">
        <v>1</v>
      </c>
      <c r="AN873" t="n">
        <v>0</v>
      </c>
      <c r="AO873" t="n">
        <v>0</v>
      </c>
      <c r="AP873" t="n">
        <v>0</v>
      </c>
      <c r="AQ873" t="n">
        <v>0</v>
      </c>
      <c r="AR873" t="inlineStr">
        <is>
          <t>No</t>
        </is>
      </c>
      <c r="AS873" t="inlineStr">
        <is>
          <t>No</t>
        </is>
      </c>
      <c r="AU873">
        <f>HYPERLINK("https://creighton-primo.hosted.exlibrisgroup.com/primo-explore/search?tab=default_tab&amp;search_scope=EVERYTHING&amp;vid=01CRU&amp;lang=en_US&amp;offset=0&amp;query=any,contains,991003516959702656","Catalog Record")</f>
        <v/>
      </c>
      <c r="AV873">
        <f>HYPERLINK("http://www.worldcat.org/oclc/11460169","WorldCat Record")</f>
        <v/>
      </c>
      <c r="AW873" t="inlineStr">
        <is>
          <t>350383414:spa</t>
        </is>
      </c>
      <c r="AX873" t="inlineStr">
        <is>
          <t>11460169</t>
        </is>
      </c>
      <c r="AY873" t="inlineStr">
        <is>
          <t>991003516959702656</t>
        </is>
      </c>
      <c r="AZ873" t="inlineStr">
        <is>
          <t>991003516959702656</t>
        </is>
      </c>
      <c r="BA873" t="inlineStr">
        <is>
          <t>2270865760002656</t>
        </is>
      </c>
      <c r="BB873" t="inlineStr">
        <is>
          <t>BOOK</t>
        </is>
      </c>
      <c r="BD873" t="inlineStr">
        <is>
          <t>9789681616557</t>
        </is>
      </c>
      <c r="BE873" t="inlineStr">
        <is>
          <t>32285004306469</t>
        </is>
      </c>
      <c r="BF873" t="inlineStr">
        <is>
          <t>893342646</t>
        </is>
      </c>
    </row>
    <row r="874">
      <c r="A874" t="inlineStr">
        <is>
          <t>No</t>
        </is>
      </c>
      <c r="B874" t="inlineStr">
        <is>
          <t>CURAL</t>
        </is>
      </c>
      <c r="C874" t="inlineStr">
        <is>
          <t>SHELVES</t>
        </is>
      </c>
      <c r="D874" t="inlineStr">
        <is>
          <t>PQ7297.A8365 T54 1997</t>
        </is>
      </c>
      <c r="E874" t="inlineStr">
        <is>
          <t>0                      PQ 7297000A  8365               T  54          1997</t>
        </is>
      </c>
      <c r="F874" t="inlineStr">
        <is>
          <t>Tiempo de ángeles / Homero Aridjis.</t>
        </is>
      </c>
      <c r="H874" t="inlineStr">
        <is>
          <t>No</t>
        </is>
      </c>
      <c r="I874" t="inlineStr">
        <is>
          <t>1</t>
        </is>
      </c>
      <c r="J874" t="inlineStr">
        <is>
          <t>No</t>
        </is>
      </c>
      <c r="K874" t="inlineStr">
        <is>
          <t>No</t>
        </is>
      </c>
      <c r="L874" t="inlineStr">
        <is>
          <t>0</t>
        </is>
      </c>
      <c r="M874" t="inlineStr">
        <is>
          <t>Aridjis, Homero.</t>
        </is>
      </c>
      <c r="N874" t="inlineStr">
        <is>
          <t>México, D.F. : Fondo de Cultura Económica, 1997.</t>
        </is>
      </c>
      <c r="O874" t="inlineStr">
        <is>
          <t>1997</t>
        </is>
      </c>
      <c r="P874" t="inlineStr">
        <is>
          <t>2. ed.</t>
        </is>
      </c>
      <c r="Q874" t="inlineStr">
        <is>
          <t>spa</t>
        </is>
      </c>
      <c r="R874" t="inlineStr">
        <is>
          <t xml:space="preserve">mx </t>
        </is>
      </c>
      <c r="T874" t="inlineStr">
        <is>
          <t xml:space="preserve">PQ </t>
        </is>
      </c>
      <c r="U874" t="n">
        <v>2</v>
      </c>
      <c r="V874" t="n">
        <v>2</v>
      </c>
      <c r="W874" t="inlineStr">
        <is>
          <t>1999-11-16</t>
        </is>
      </c>
      <c r="X874" t="inlineStr">
        <is>
          <t>1999-11-16</t>
        </is>
      </c>
      <c r="Y874" t="inlineStr">
        <is>
          <t>1998-09-03</t>
        </is>
      </c>
      <c r="Z874" t="inlineStr">
        <is>
          <t>1998-09-03</t>
        </is>
      </c>
      <c r="AA874" t="n">
        <v>53</v>
      </c>
      <c r="AB874" t="n">
        <v>43</v>
      </c>
      <c r="AC874" t="n">
        <v>67</v>
      </c>
      <c r="AD874" t="n">
        <v>1</v>
      </c>
      <c r="AE874" t="n">
        <v>1</v>
      </c>
      <c r="AF874" t="n">
        <v>1</v>
      </c>
      <c r="AG874" t="n">
        <v>2</v>
      </c>
      <c r="AH874" t="n">
        <v>0</v>
      </c>
      <c r="AI874" t="n">
        <v>0</v>
      </c>
      <c r="AJ874" t="n">
        <v>1</v>
      </c>
      <c r="AK874" t="n">
        <v>1</v>
      </c>
      <c r="AL874" t="n">
        <v>1</v>
      </c>
      <c r="AM874" t="n">
        <v>2</v>
      </c>
      <c r="AN874" t="n">
        <v>0</v>
      </c>
      <c r="AO874" t="n">
        <v>0</v>
      </c>
      <c r="AP874" t="n">
        <v>0</v>
      </c>
      <c r="AQ874" t="n">
        <v>0</v>
      </c>
      <c r="AR874" t="inlineStr">
        <is>
          <t>No</t>
        </is>
      </c>
      <c r="AS874" t="inlineStr">
        <is>
          <t>No</t>
        </is>
      </c>
      <c r="AU874">
        <f>HYPERLINK("https://creighton-primo.hosted.exlibrisgroup.com/primo-explore/search?tab=default_tab&amp;search_scope=EVERYTHING&amp;vid=01CRU&amp;lang=en_US&amp;offset=0&amp;query=any,contains,991002859279702656","Catalog Record")</f>
        <v/>
      </c>
      <c r="AV874">
        <f>HYPERLINK("http://www.worldcat.org/oclc/37681197","WorldCat Record")</f>
        <v/>
      </c>
      <c r="AW874" t="inlineStr">
        <is>
          <t>35889169:spa</t>
        </is>
      </c>
      <c r="AX874" t="inlineStr">
        <is>
          <t>37681197</t>
        </is>
      </c>
      <c r="AY874" t="inlineStr">
        <is>
          <t>991002859279702656</t>
        </is>
      </c>
      <c r="AZ874" t="inlineStr">
        <is>
          <t>991002859279702656</t>
        </is>
      </c>
      <c r="BA874" t="inlineStr">
        <is>
          <t>2269791690002656</t>
        </is>
      </c>
      <c r="BB874" t="inlineStr">
        <is>
          <t>BOOK</t>
        </is>
      </c>
      <c r="BD874" t="inlineStr">
        <is>
          <t>9789681650285</t>
        </is>
      </c>
      <c r="BE874" t="inlineStr">
        <is>
          <t>32285003465456</t>
        </is>
      </c>
      <c r="BF874" t="inlineStr">
        <is>
          <t>893710767</t>
        </is>
      </c>
    </row>
    <row r="875">
      <c r="A875" t="inlineStr">
        <is>
          <t>No</t>
        </is>
      </c>
      <c r="B875" t="inlineStr">
        <is>
          <t>CURAL</t>
        </is>
      </c>
      <c r="C875" t="inlineStr">
        <is>
          <t>SHELVES</t>
        </is>
      </c>
      <c r="D875" t="inlineStr">
        <is>
          <t>PQ7297.A853 A14 1995</t>
        </is>
      </c>
      <c r="E875" t="inlineStr">
        <is>
          <t>0                      PQ 7297000A  853                A  14          1995</t>
        </is>
      </c>
      <c r="F875" t="inlineStr">
        <is>
          <t>Obras / Juan José Arreola ; antología y prólogo de Saúl Yurkievich.</t>
        </is>
      </c>
      <c r="H875" t="inlineStr">
        <is>
          <t>No</t>
        </is>
      </c>
      <c r="I875" t="inlineStr">
        <is>
          <t>1</t>
        </is>
      </c>
      <c r="J875" t="inlineStr">
        <is>
          <t>No</t>
        </is>
      </c>
      <c r="K875" t="inlineStr">
        <is>
          <t>No</t>
        </is>
      </c>
      <c r="L875" t="inlineStr">
        <is>
          <t>0</t>
        </is>
      </c>
      <c r="M875" t="inlineStr">
        <is>
          <t>Arreola, Juan José.</t>
        </is>
      </c>
      <c r="N875" t="inlineStr">
        <is>
          <t>México, D.F. : Fondo de Cultura Económica, 1995.</t>
        </is>
      </c>
      <c r="O875" t="inlineStr">
        <is>
          <t>1995</t>
        </is>
      </c>
      <c r="P875" t="inlineStr">
        <is>
          <t>1. ed.</t>
        </is>
      </c>
      <c r="Q875" t="inlineStr">
        <is>
          <t>spa</t>
        </is>
      </c>
      <c r="R875" t="inlineStr">
        <is>
          <t xml:space="preserve">mx </t>
        </is>
      </c>
      <c r="S875" t="inlineStr">
        <is>
          <t>Colección Tierra Firma</t>
        </is>
      </c>
      <c r="T875" t="inlineStr">
        <is>
          <t xml:space="preserve">PQ </t>
        </is>
      </c>
      <c r="U875" t="n">
        <v>1</v>
      </c>
      <c r="V875" t="n">
        <v>1</v>
      </c>
      <c r="W875" t="inlineStr">
        <is>
          <t>2002-05-05</t>
        </is>
      </c>
      <c r="X875" t="inlineStr">
        <is>
          <t>2002-05-05</t>
        </is>
      </c>
      <c r="Y875" t="inlineStr">
        <is>
          <t>1997-06-05</t>
        </is>
      </c>
      <c r="Z875" t="inlineStr">
        <is>
          <t>1997-06-05</t>
        </is>
      </c>
      <c r="AA875" t="n">
        <v>142</v>
      </c>
      <c r="AB875" t="n">
        <v>117</v>
      </c>
      <c r="AC875" t="n">
        <v>163</v>
      </c>
      <c r="AD875" t="n">
        <v>1</v>
      </c>
      <c r="AE875" t="n">
        <v>1</v>
      </c>
      <c r="AF875" t="n">
        <v>4</v>
      </c>
      <c r="AG875" t="n">
        <v>4</v>
      </c>
      <c r="AH875" t="n">
        <v>1</v>
      </c>
      <c r="AI875" t="n">
        <v>1</v>
      </c>
      <c r="AJ875" t="n">
        <v>2</v>
      </c>
      <c r="AK875" t="n">
        <v>2</v>
      </c>
      <c r="AL875" t="n">
        <v>2</v>
      </c>
      <c r="AM875" t="n">
        <v>2</v>
      </c>
      <c r="AN875" t="n">
        <v>0</v>
      </c>
      <c r="AO875" t="n">
        <v>0</v>
      </c>
      <c r="AP875" t="n">
        <v>0</v>
      </c>
      <c r="AQ875" t="n">
        <v>0</v>
      </c>
      <c r="AR875" t="inlineStr">
        <is>
          <t>No</t>
        </is>
      </c>
      <c r="AS875" t="inlineStr">
        <is>
          <t>Yes</t>
        </is>
      </c>
      <c r="AT875">
        <f>HYPERLINK("http://catalog.hathitrust.org/Record/101097324","HathiTrust Record")</f>
        <v/>
      </c>
      <c r="AU875">
        <f>HYPERLINK("https://creighton-primo.hosted.exlibrisgroup.com/primo-explore/search?tab=default_tab&amp;search_scope=EVERYTHING&amp;vid=01CRU&amp;lang=en_US&amp;offset=0&amp;query=any,contains,991002651999702656","Catalog Record")</f>
        <v/>
      </c>
      <c r="AV875">
        <f>HYPERLINK("http://www.worldcat.org/oclc/34680823","WorldCat Record")</f>
        <v/>
      </c>
      <c r="AW875" t="inlineStr">
        <is>
          <t>2864335193:spa</t>
        </is>
      </c>
      <c r="AX875" t="inlineStr">
        <is>
          <t>34680823</t>
        </is>
      </c>
      <c r="AY875" t="inlineStr">
        <is>
          <t>991002651999702656</t>
        </is>
      </c>
      <c r="AZ875" t="inlineStr">
        <is>
          <t>991002651999702656</t>
        </is>
      </c>
      <c r="BA875" t="inlineStr">
        <is>
          <t>2263934980002656</t>
        </is>
      </c>
      <c r="BB875" t="inlineStr">
        <is>
          <t>BOOK</t>
        </is>
      </c>
      <c r="BD875" t="inlineStr">
        <is>
          <t>9789681646660</t>
        </is>
      </c>
      <c r="BE875" t="inlineStr">
        <is>
          <t>32285002614914</t>
        </is>
      </c>
      <c r="BF875" t="inlineStr">
        <is>
          <t>893445286</t>
        </is>
      </c>
    </row>
    <row r="876">
      <c r="A876" t="inlineStr">
        <is>
          <t>No</t>
        </is>
      </c>
      <c r="B876" t="inlineStr">
        <is>
          <t>CURAL</t>
        </is>
      </c>
      <c r="C876" t="inlineStr">
        <is>
          <t>SHELVES</t>
        </is>
      </c>
      <c r="D876" t="inlineStr">
        <is>
          <t>PQ7297.C66 C3 1997</t>
        </is>
      </c>
      <c r="E876" t="inlineStr">
        <is>
          <t>0                      PQ 7297000C  66                 C  3           1997</t>
        </is>
      </c>
      <c r="F876" t="inlineStr">
        <is>
          <t>Cantos de la tierra prometida / Juan Cotto.</t>
        </is>
      </c>
      <c r="H876" t="inlineStr">
        <is>
          <t>No</t>
        </is>
      </c>
      <c r="I876" t="inlineStr">
        <is>
          <t>1</t>
        </is>
      </c>
      <c r="J876" t="inlineStr">
        <is>
          <t>No</t>
        </is>
      </c>
      <c r="K876" t="inlineStr">
        <is>
          <t>No</t>
        </is>
      </c>
      <c r="L876" t="inlineStr">
        <is>
          <t>0</t>
        </is>
      </c>
      <c r="M876" t="inlineStr">
        <is>
          <t>Cotto, Juan, 1900-1938.</t>
        </is>
      </c>
      <c r="N876" t="inlineStr">
        <is>
          <t>San Salvador : Dirección de Publicaciones e Impresos Consejo Nacional para la Cultura y el Arte Concultura, 1997.</t>
        </is>
      </c>
      <c r="O876" t="inlineStr">
        <is>
          <t>1997</t>
        </is>
      </c>
      <c r="P876" t="inlineStr">
        <is>
          <t>3. ed.</t>
        </is>
      </c>
      <c r="Q876" t="inlineStr">
        <is>
          <t>spa</t>
        </is>
      </c>
      <c r="R876" t="inlineStr">
        <is>
          <t xml:space="preserve">es </t>
        </is>
      </c>
      <c r="S876" t="inlineStr">
        <is>
          <t>Biblioteca básica de literatura salvadoreña ; v. 13</t>
        </is>
      </c>
      <c r="T876" t="inlineStr">
        <is>
          <t xml:space="preserve">PQ </t>
        </is>
      </c>
      <c r="U876" t="n">
        <v>1</v>
      </c>
      <c r="V876" t="n">
        <v>1</v>
      </c>
      <c r="W876" t="inlineStr">
        <is>
          <t>2001-11-08</t>
        </is>
      </c>
      <c r="X876" t="inlineStr">
        <is>
          <t>2001-11-08</t>
        </is>
      </c>
      <c r="Y876" t="inlineStr">
        <is>
          <t>2001-11-07</t>
        </is>
      </c>
      <c r="Z876" t="inlineStr">
        <is>
          <t>2001-11-07</t>
        </is>
      </c>
      <c r="AA876" t="n">
        <v>31</v>
      </c>
      <c r="AB876" t="n">
        <v>29</v>
      </c>
      <c r="AC876" t="n">
        <v>56</v>
      </c>
      <c r="AD876" t="n">
        <v>1</v>
      </c>
      <c r="AE876" t="n">
        <v>1</v>
      </c>
      <c r="AF876" t="n">
        <v>1</v>
      </c>
      <c r="AG876" t="n">
        <v>1</v>
      </c>
      <c r="AH876" t="n">
        <v>0</v>
      </c>
      <c r="AI876" t="n">
        <v>0</v>
      </c>
      <c r="AJ876" t="n">
        <v>1</v>
      </c>
      <c r="AK876" t="n">
        <v>1</v>
      </c>
      <c r="AL876" t="n">
        <v>0</v>
      </c>
      <c r="AM876" t="n">
        <v>0</v>
      </c>
      <c r="AN876" t="n">
        <v>0</v>
      </c>
      <c r="AO876" t="n">
        <v>0</v>
      </c>
      <c r="AP876" t="n">
        <v>0</v>
      </c>
      <c r="AQ876" t="n">
        <v>0</v>
      </c>
      <c r="AR876" t="inlineStr">
        <is>
          <t>No</t>
        </is>
      </c>
      <c r="AS876" t="inlineStr">
        <is>
          <t>Yes</t>
        </is>
      </c>
      <c r="AT876">
        <f>HYPERLINK("http://catalog.hathitrust.org/Record/101097584","HathiTrust Record")</f>
        <v/>
      </c>
      <c r="AU876">
        <f>HYPERLINK("https://creighton-primo.hosted.exlibrisgroup.com/primo-explore/search?tab=default_tab&amp;search_scope=EVERYTHING&amp;vid=01CRU&amp;lang=en_US&amp;offset=0&amp;query=any,contains,991003670089702656","Catalog Record")</f>
        <v/>
      </c>
      <c r="AV876">
        <f>HYPERLINK("http://www.worldcat.org/oclc/39728064","WorldCat Record")</f>
        <v/>
      </c>
      <c r="AW876" t="inlineStr">
        <is>
          <t>42157571:spa</t>
        </is>
      </c>
      <c r="AX876" t="inlineStr">
        <is>
          <t>39728064</t>
        </is>
      </c>
      <c r="AY876" t="inlineStr">
        <is>
          <t>991003670089702656</t>
        </is>
      </c>
      <c r="AZ876" t="inlineStr">
        <is>
          <t>991003670089702656</t>
        </is>
      </c>
      <c r="BA876" t="inlineStr">
        <is>
          <t>2269023110002656</t>
        </is>
      </c>
      <c r="BB876" t="inlineStr">
        <is>
          <t>BOOK</t>
        </is>
      </c>
      <c r="BE876" t="inlineStr">
        <is>
          <t>32285004419064</t>
        </is>
      </c>
      <c r="BF876" t="inlineStr">
        <is>
          <t>893505849</t>
        </is>
      </c>
    </row>
    <row r="877">
      <c r="A877" t="inlineStr">
        <is>
          <t>No</t>
        </is>
      </c>
      <c r="B877" t="inlineStr">
        <is>
          <t>CURAL</t>
        </is>
      </c>
      <c r="C877" t="inlineStr">
        <is>
          <t>SHELVES</t>
        </is>
      </c>
      <c r="D877" t="inlineStr">
        <is>
          <t>PQ7297.D837 E88 1989</t>
        </is>
      </c>
      <c r="E877" t="inlineStr">
        <is>
          <t>0                      PQ 7297000D  837                E  88          1989</t>
        </is>
      </c>
      <c r="F877" t="inlineStr">
        <is>
          <t>Las estaciones del silencio / Luis Horacio Durán.</t>
        </is>
      </c>
      <c r="H877" t="inlineStr">
        <is>
          <t>No</t>
        </is>
      </c>
      <c r="I877" t="inlineStr">
        <is>
          <t>1</t>
        </is>
      </c>
      <c r="J877" t="inlineStr">
        <is>
          <t>No</t>
        </is>
      </c>
      <c r="K877" t="inlineStr">
        <is>
          <t>No</t>
        </is>
      </c>
      <c r="L877" t="inlineStr">
        <is>
          <t>0</t>
        </is>
      </c>
      <c r="M877" t="inlineStr">
        <is>
          <t>Durán, Luis Horacio.</t>
        </is>
      </c>
      <c r="N877" t="inlineStr">
        <is>
          <t>Monterrey, Nuevo León, México : Ediciones Castillo, 1989.</t>
        </is>
      </c>
      <c r="O877" t="inlineStr">
        <is>
          <t>1989</t>
        </is>
      </c>
      <c r="Q877" t="inlineStr">
        <is>
          <t>spa</t>
        </is>
      </c>
      <c r="R877" t="inlineStr">
        <is>
          <t xml:space="preserve">mx </t>
        </is>
      </c>
      <c r="T877" t="inlineStr">
        <is>
          <t xml:space="preserve">PQ </t>
        </is>
      </c>
      <c r="U877" t="n">
        <v>1</v>
      </c>
      <c r="V877" t="n">
        <v>1</v>
      </c>
      <c r="W877" t="inlineStr">
        <is>
          <t>2001-11-08</t>
        </is>
      </c>
      <c r="X877" t="inlineStr">
        <is>
          <t>2001-11-08</t>
        </is>
      </c>
      <c r="Y877" t="inlineStr">
        <is>
          <t>2001-11-08</t>
        </is>
      </c>
      <c r="Z877" t="inlineStr">
        <is>
          <t>2001-11-08</t>
        </is>
      </c>
      <c r="AA877" t="n">
        <v>10</v>
      </c>
      <c r="AB877" t="n">
        <v>9</v>
      </c>
      <c r="AC877" t="n">
        <v>14</v>
      </c>
      <c r="AD877" t="n">
        <v>1</v>
      </c>
      <c r="AE877" t="n">
        <v>1</v>
      </c>
      <c r="AF877" t="n">
        <v>0</v>
      </c>
      <c r="AG877" t="n">
        <v>0</v>
      </c>
      <c r="AH877" t="n">
        <v>0</v>
      </c>
      <c r="AI877" t="n">
        <v>0</v>
      </c>
      <c r="AJ877" t="n">
        <v>0</v>
      </c>
      <c r="AK877" t="n">
        <v>0</v>
      </c>
      <c r="AL877" t="n">
        <v>0</v>
      </c>
      <c r="AM877" t="n">
        <v>0</v>
      </c>
      <c r="AN877" t="n">
        <v>0</v>
      </c>
      <c r="AO877" t="n">
        <v>0</v>
      </c>
      <c r="AP877" t="n">
        <v>0</v>
      </c>
      <c r="AQ877" t="n">
        <v>0</v>
      </c>
      <c r="AR877" t="inlineStr">
        <is>
          <t>No</t>
        </is>
      </c>
      <c r="AS877" t="inlineStr">
        <is>
          <t>Yes</t>
        </is>
      </c>
      <c r="AT877">
        <f>HYPERLINK("http://catalog.hathitrust.org/Record/101097646","HathiTrust Record")</f>
        <v/>
      </c>
      <c r="AU877">
        <f>HYPERLINK("https://creighton-primo.hosted.exlibrisgroup.com/primo-explore/search?tab=default_tab&amp;search_scope=EVERYTHING&amp;vid=01CRU&amp;lang=en_US&amp;offset=0&amp;query=any,contains,991003673889702656","Catalog Record")</f>
        <v/>
      </c>
      <c r="AV877">
        <f>HYPERLINK("http://www.worldcat.org/oclc/22243876","WorldCat Record")</f>
        <v/>
      </c>
      <c r="AW877" t="inlineStr">
        <is>
          <t>475929624:spa</t>
        </is>
      </c>
      <c r="AX877" t="inlineStr">
        <is>
          <t>22243876</t>
        </is>
      </c>
      <c r="AY877" t="inlineStr">
        <is>
          <t>991003673889702656</t>
        </is>
      </c>
      <c r="AZ877" t="inlineStr">
        <is>
          <t>991003673889702656</t>
        </is>
      </c>
      <c r="BA877" t="inlineStr">
        <is>
          <t>2269916600002656</t>
        </is>
      </c>
      <c r="BB877" t="inlineStr">
        <is>
          <t>BOOK</t>
        </is>
      </c>
      <c r="BD877" t="inlineStr">
        <is>
          <t>9789686635188</t>
        </is>
      </c>
      <c r="BE877" t="inlineStr">
        <is>
          <t>32285004419395</t>
        </is>
      </c>
      <c r="BF877" t="inlineStr">
        <is>
          <t>893348987</t>
        </is>
      </c>
    </row>
    <row r="878">
      <c r="A878" t="inlineStr">
        <is>
          <t>No</t>
        </is>
      </c>
      <c r="B878" t="inlineStr">
        <is>
          <t>CURAL</t>
        </is>
      </c>
      <c r="C878" t="inlineStr">
        <is>
          <t>SHELVES</t>
        </is>
      </c>
      <c r="D878" t="inlineStr">
        <is>
          <t>PQ7297.F37 P32 1952</t>
        </is>
      </c>
      <c r="E878" t="inlineStr">
        <is>
          <t>0                      PQ 7297000F  37                 P  32          1952</t>
        </is>
      </c>
      <c r="F878" t="inlineStr">
        <is>
          <t>El Periquillo Sarniento / José Joaquín Fernandez de Lizardi ; edited by Erwin K. Mapes and Frances M. López-Morillas.</t>
        </is>
      </c>
      <c r="H878" t="inlineStr">
        <is>
          <t>No</t>
        </is>
      </c>
      <c r="I878" t="inlineStr">
        <is>
          <t>1</t>
        </is>
      </c>
      <c r="J878" t="inlineStr">
        <is>
          <t>No</t>
        </is>
      </c>
      <c r="K878" t="inlineStr">
        <is>
          <t>No</t>
        </is>
      </c>
      <c r="L878" t="inlineStr">
        <is>
          <t>0</t>
        </is>
      </c>
      <c r="M878" t="inlineStr">
        <is>
          <t>Fernández de Lizardi, José Joaquín, 1776-1827.</t>
        </is>
      </c>
      <c r="N878" t="inlineStr">
        <is>
          <t>New York : Appleton-Century-Crofts, 1952.</t>
        </is>
      </c>
      <c r="O878" t="inlineStr">
        <is>
          <t>1952</t>
        </is>
      </c>
      <c r="Q878" t="inlineStr">
        <is>
          <t>spa</t>
        </is>
      </c>
      <c r="R878" t="inlineStr">
        <is>
          <t>nyu</t>
        </is>
      </c>
      <c r="T878" t="inlineStr">
        <is>
          <t xml:space="preserve">PQ </t>
        </is>
      </c>
      <c r="U878" t="n">
        <v>2</v>
      </c>
      <c r="V878" t="n">
        <v>2</v>
      </c>
      <c r="W878" t="inlineStr">
        <is>
          <t>1997-12-03</t>
        </is>
      </c>
      <c r="X878" t="inlineStr">
        <is>
          <t>1997-12-03</t>
        </is>
      </c>
      <c r="Y878" t="inlineStr">
        <is>
          <t>1997-10-01</t>
        </is>
      </c>
      <c r="Z878" t="inlineStr">
        <is>
          <t>1997-10-01</t>
        </is>
      </c>
      <c r="AA878" t="n">
        <v>296</v>
      </c>
      <c r="AB878" t="n">
        <v>283</v>
      </c>
      <c r="AC878" t="n">
        <v>909</v>
      </c>
      <c r="AD878" t="n">
        <v>5</v>
      </c>
      <c r="AE878" t="n">
        <v>8</v>
      </c>
      <c r="AF878" t="n">
        <v>13</v>
      </c>
      <c r="AG878" t="n">
        <v>43</v>
      </c>
      <c r="AH878" t="n">
        <v>2</v>
      </c>
      <c r="AI878" t="n">
        <v>15</v>
      </c>
      <c r="AJ878" t="n">
        <v>3</v>
      </c>
      <c r="AK878" t="n">
        <v>11</v>
      </c>
      <c r="AL878" t="n">
        <v>5</v>
      </c>
      <c r="AM878" t="n">
        <v>21</v>
      </c>
      <c r="AN878" t="n">
        <v>4</v>
      </c>
      <c r="AO878" t="n">
        <v>7</v>
      </c>
      <c r="AP878" t="n">
        <v>0</v>
      </c>
      <c r="AQ878" t="n">
        <v>0</v>
      </c>
      <c r="AR878" t="inlineStr">
        <is>
          <t>No</t>
        </is>
      </c>
      <c r="AS878" t="inlineStr">
        <is>
          <t>Yes</t>
        </is>
      </c>
      <c r="AT878">
        <f>HYPERLINK("http://catalog.hathitrust.org/Record/001016104","HathiTrust Record")</f>
        <v/>
      </c>
      <c r="AU878">
        <f>HYPERLINK("https://creighton-primo.hosted.exlibrisgroup.com/primo-explore/search?tab=default_tab&amp;search_scope=EVERYTHING&amp;vid=01CRU&amp;lang=en_US&amp;offset=0&amp;query=any,contains,991001370019702656","Catalog Record")</f>
        <v/>
      </c>
      <c r="AV878">
        <f>HYPERLINK("http://www.worldcat.org/oclc/223295","WorldCat Record")</f>
        <v/>
      </c>
      <c r="AW878" t="inlineStr">
        <is>
          <t>1122355:spa</t>
        </is>
      </c>
      <c r="AX878" t="inlineStr">
        <is>
          <t>223295</t>
        </is>
      </c>
      <c r="AY878" t="inlineStr">
        <is>
          <t>991001370019702656</t>
        </is>
      </c>
      <c r="AZ878" t="inlineStr">
        <is>
          <t>991001370019702656</t>
        </is>
      </c>
      <c r="BA878" t="inlineStr">
        <is>
          <t>2262362370002656</t>
        </is>
      </c>
      <c r="BB878" t="inlineStr">
        <is>
          <t>BOOK</t>
        </is>
      </c>
      <c r="BE878" t="inlineStr">
        <is>
          <t>32285003237228</t>
        </is>
      </c>
      <c r="BF878" t="inlineStr">
        <is>
          <t>893534525</t>
        </is>
      </c>
    </row>
    <row r="879">
      <c r="A879" t="inlineStr">
        <is>
          <t>No</t>
        </is>
      </c>
      <c r="B879" t="inlineStr">
        <is>
          <t>CURAL</t>
        </is>
      </c>
      <c r="C879" t="inlineStr">
        <is>
          <t>SHELVES</t>
        </is>
      </c>
      <c r="D879" t="inlineStr">
        <is>
          <t>PQ7297.F37 Q8 1967</t>
        </is>
      </c>
      <c r="E879" t="inlineStr">
        <is>
          <t>0                      PQ 7297000F  37                 Q  8           1967</t>
        </is>
      </c>
      <c r="F879" t="inlineStr">
        <is>
          <t>La Quijotita y su prima. Introd. de María del Carmen Ruiz Castañeda.</t>
        </is>
      </c>
      <c r="H879" t="inlineStr">
        <is>
          <t>No</t>
        </is>
      </c>
      <c r="I879" t="inlineStr">
        <is>
          <t>1</t>
        </is>
      </c>
      <c r="J879" t="inlineStr">
        <is>
          <t>No</t>
        </is>
      </c>
      <c r="K879" t="inlineStr">
        <is>
          <t>No</t>
        </is>
      </c>
      <c r="L879" t="inlineStr">
        <is>
          <t>0</t>
        </is>
      </c>
      <c r="M879" t="inlineStr">
        <is>
          <t>Fernández de Lizardi, José Joaquín, 1776-1827.</t>
        </is>
      </c>
      <c r="N879" t="inlineStr">
        <is>
          <t>México, Editorial Porrúa, 1967.</t>
        </is>
      </c>
      <c r="O879" t="inlineStr">
        <is>
          <t>1967</t>
        </is>
      </c>
      <c r="Q879" t="inlineStr">
        <is>
          <t>spa</t>
        </is>
      </c>
      <c r="R879" t="inlineStr">
        <is>
          <t xml:space="preserve">mx </t>
        </is>
      </c>
      <c r="S879" t="inlineStr">
        <is>
          <t>Colección Sepan cuantos, 71</t>
        </is>
      </c>
      <c r="T879" t="inlineStr">
        <is>
          <t xml:space="preserve">PQ </t>
        </is>
      </c>
      <c r="U879" t="n">
        <v>2</v>
      </c>
      <c r="V879" t="n">
        <v>2</v>
      </c>
      <c r="W879" t="inlineStr">
        <is>
          <t>1997-10-03</t>
        </is>
      </c>
      <c r="X879" t="inlineStr">
        <is>
          <t>1997-10-03</t>
        </is>
      </c>
      <c r="Y879" t="inlineStr">
        <is>
          <t>1997-10-01</t>
        </is>
      </c>
      <c r="Z879" t="inlineStr">
        <is>
          <t>1997-10-01</t>
        </is>
      </c>
      <c r="AA879" t="n">
        <v>183</v>
      </c>
      <c r="AB879" t="n">
        <v>153</v>
      </c>
      <c r="AC879" t="n">
        <v>197</v>
      </c>
      <c r="AD879" t="n">
        <v>1</v>
      </c>
      <c r="AE879" t="n">
        <v>2</v>
      </c>
      <c r="AF879" t="n">
        <v>5</v>
      </c>
      <c r="AG879" t="n">
        <v>8</v>
      </c>
      <c r="AH879" t="n">
        <v>1</v>
      </c>
      <c r="AI879" t="n">
        <v>2</v>
      </c>
      <c r="AJ879" t="n">
        <v>3</v>
      </c>
      <c r="AK879" t="n">
        <v>3</v>
      </c>
      <c r="AL879" t="n">
        <v>4</v>
      </c>
      <c r="AM879" t="n">
        <v>5</v>
      </c>
      <c r="AN879" t="n">
        <v>0</v>
      </c>
      <c r="AO879" t="n">
        <v>1</v>
      </c>
      <c r="AP879" t="n">
        <v>0</v>
      </c>
      <c r="AQ879" t="n">
        <v>0</v>
      </c>
      <c r="AR879" t="inlineStr">
        <is>
          <t>No</t>
        </is>
      </c>
      <c r="AS879" t="inlineStr">
        <is>
          <t>Yes</t>
        </is>
      </c>
      <c r="AT879">
        <f>HYPERLINK("http://catalog.hathitrust.org/Record/001051211","HathiTrust Record")</f>
        <v/>
      </c>
      <c r="AU879">
        <f>HYPERLINK("https://creighton-primo.hosted.exlibrisgroup.com/primo-explore/search?tab=default_tab&amp;search_scope=EVERYTHING&amp;vid=01CRU&amp;lang=en_US&amp;offset=0&amp;query=any,contains,991002283539702656","Catalog Record")</f>
        <v/>
      </c>
      <c r="AV879">
        <f>HYPERLINK("http://www.worldcat.org/oclc/311059","WorldCat Record")</f>
        <v/>
      </c>
      <c r="AW879" t="inlineStr">
        <is>
          <t>367456941:spa</t>
        </is>
      </c>
      <c r="AX879" t="inlineStr">
        <is>
          <t>311059</t>
        </is>
      </c>
      <c r="AY879" t="inlineStr">
        <is>
          <t>991002283539702656</t>
        </is>
      </c>
      <c r="AZ879" t="inlineStr">
        <is>
          <t>991002283539702656</t>
        </is>
      </c>
      <c r="BA879" t="inlineStr">
        <is>
          <t>2272476430002656</t>
        </is>
      </c>
      <c r="BB879" t="inlineStr">
        <is>
          <t>BOOK</t>
        </is>
      </c>
      <c r="BE879" t="inlineStr">
        <is>
          <t>32285003237236</t>
        </is>
      </c>
      <c r="BF879" t="inlineStr">
        <is>
          <t>893879719</t>
        </is>
      </c>
    </row>
    <row r="880">
      <c r="A880" t="inlineStr">
        <is>
          <t>No</t>
        </is>
      </c>
      <c r="B880" t="inlineStr">
        <is>
          <t>CURAL</t>
        </is>
      </c>
      <c r="C880" t="inlineStr">
        <is>
          <t>SHELVES</t>
        </is>
      </c>
      <c r="D880" t="inlineStr">
        <is>
          <t>PQ7297.F37 V5 1959</t>
        </is>
      </c>
      <c r="E880" t="inlineStr">
        <is>
          <t>0                      PQ 7297000F  37                 V  5           1959</t>
        </is>
      </c>
      <c r="F880" t="inlineStr">
        <is>
          <t>Don Catrín de la Fachenda, y Noches tristes y día alegre. Ed. y prólogo de Jefferson Rea Spell.</t>
        </is>
      </c>
      <c r="H880" t="inlineStr">
        <is>
          <t>No</t>
        </is>
      </c>
      <c r="I880" t="inlineStr">
        <is>
          <t>1</t>
        </is>
      </c>
      <c r="J880" t="inlineStr">
        <is>
          <t>No</t>
        </is>
      </c>
      <c r="K880" t="inlineStr">
        <is>
          <t>No</t>
        </is>
      </c>
      <c r="L880" t="inlineStr">
        <is>
          <t>0</t>
        </is>
      </c>
      <c r="M880" t="inlineStr">
        <is>
          <t>Fernández de Lizardi, José Joaquín, 1776-1827.</t>
        </is>
      </c>
      <c r="N880" t="inlineStr">
        <is>
          <t>México, Editorial Porrúa, 1959.</t>
        </is>
      </c>
      <c r="O880" t="inlineStr">
        <is>
          <t>1959</t>
        </is>
      </c>
      <c r="Q880" t="inlineStr">
        <is>
          <t>spa</t>
        </is>
      </c>
      <c r="R880" t="inlineStr">
        <is>
          <t xml:space="preserve">mx </t>
        </is>
      </c>
      <c r="S880" t="inlineStr">
        <is>
          <t>Colección de escritores mexicanos ; 81</t>
        </is>
      </c>
      <c r="T880" t="inlineStr">
        <is>
          <t xml:space="preserve">PQ </t>
        </is>
      </c>
      <c r="U880" t="n">
        <v>2</v>
      </c>
      <c r="V880" t="n">
        <v>2</v>
      </c>
      <c r="W880" t="inlineStr">
        <is>
          <t>1997-10-03</t>
        </is>
      </c>
      <c r="X880" t="inlineStr">
        <is>
          <t>1997-10-03</t>
        </is>
      </c>
      <c r="Y880" t="inlineStr">
        <is>
          <t>1997-10-01</t>
        </is>
      </c>
      <c r="Z880" t="inlineStr">
        <is>
          <t>1997-10-01</t>
        </is>
      </c>
      <c r="AA880" t="n">
        <v>291</v>
      </c>
      <c r="AB880" t="n">
        <v>252</v>
      </c>
      <c r="AC880" t="n">
        <v>358</v>
      </c>
      <c r="AD880" t="n">
        <v>3</v>
      </c>
      <c r="AE880" t="n">
        <v>3</v>
      </c>
      <c r="AF880" t="n">
        <v>10</v>
      </c>
      <c r="AG880" t="n">
        <v>16</v>
      </c>
      <c r="AH880" t="n">
        <v>1</v>
      </c>
      <c r="AI880" t="n">
        <v>3</v>
      </c>
      <c r="AJ880" t="n">
        <v>3</v>
      </c>
      <c r="AK880" t="n">
        <v>3</v>
      </c>
      <c r="AL880" t="n">
        <v>6</v>
      </c>
      <c r="AM880" t="n">
        <v>11</v>
      </c>
      <c r="AN880" t="n">
        <v>2</v>
      </c>
      <c r="AO880" t="n">
        <v>2</v>
      </c>
      <c r="AP880" t="n">
        <v>0</v>
      </c>
      <c r="AQ880" t="n">
        <v>0</v>
      </c>
      <c r="AR880" t="inlineStr">
        <is>
          <t>No</t>
        </is>
      </c>
      <c r="AS880" t="inlineStr">
        <is>
          <t>Yes</t>
        </is>
      </c>
      <c r="AT880">
        <f>HYPERLINK("http://catalog.hathitrust.org/Record/007126740","HathiTrust Record")</f>
        <v/>
      </c>
      <c r="AU880">
        <f>HYPERLINK("https://creighton-primo.hosted.exlibrisgroup.com/primo-explore/search?tab=default_tab&amp;search_scope=EVERYTHING&amp;vid=01CRU&amp;lang=en_US&amp;offset=0&amp;query=any,contains,991002435319702656","Catalog Record")</f>
        <v/>
      </c>
      <c r="AV880">
        <f>HYPERLINK("http://www.worldcat.org/oclc/348707","WorldCat Record")</f>
        <v/>
      </c>
      <c r="AW880" t="inlineStr">
        <is>
          <t>1505956:spa</t>
        </is>
      </c>
      <c r="AX880" t="inlineStr">
        <is>
          <t>348707</t>
        </is>
      </c>
      <c r="AY880" t="inlineStr">
        <is>
          <t>991002435319702656</t>
        </is>
      </c>
      <c r="AZ880" t="inlineStr">
        <is>
          <t>991002435319702656</t>
        </is>
      </c>
      <c r="BA880" t="inlineStr">
        <is>
          <t>2271068730002656</t>
        </is>
      </c>
      <c r="BB880" t="inlineStr">
        <is>
          <t>BOOK</t>
        </is>
      </c>
      <c r="BE880" t="inlineStr">
        <is>
          <t>32285003237244</t>
        </is>
      </c>
      <c r="BF880" t="inlineStr">
        <is>
          <t>893903893</t>
        </is>
      </c>
    </row>
    <row r="881">
      <c r="A881" t="inlineStr">
        <is>
          <t>No</t>
        </is>
      </c>
      <c r="B881" t="inlineStr">
        <is>
          <t>CURAL</t>
        </is>
      </c>
      <c r="C881" t="inlineStr">
        <is>
          <t>SHELVES</t>
        </is>
      </c>
      <c r="D881" t="inlineStr">
        <is>
          <t>PQ7297.F793 A85 1980</t>
        </is>
      </c>
      <c r="E881" t="inlineStr">
        <is>
          <t>0                      PQ 7297000F  793                A  85          1980</t>
        </is>
      </c>
      <c r="F881" t="inlineStr">
        <is>
          <t>Aura / Carlos Fuentes.</t>
        </is>
      </c>
      <c r="H881" t="inlineStr">
        <is>
          <t>No</t>
        </is>
      </c>
      <c r="I881" t="inlineStr">
        <is>
          <t>1</t>
        </is>
      </c>
      <c r="J881" t="inlineStr">
        <is>
          <t>No</t>
        </is>
      </c>
      <c r="K881" t="inlineStr">
        <is>
          <t>No</t>
        </is>
      </c>
      <c r="L881" t="inlineStr">
        <is>
          <t>0</t>
        </is>
      </c>
      <c r="M881" t="inlineStr">
        <is>
          <t>Fuentes, Carlos.</t>
        </is>
      </c>
      <c r="N881" t="inlineStr">
        <is>
          <t>México : Biblioteca Era, 1980.</t>
        </is>
      </c>
      <c r="O881" t="inlineStr">
        <is>
          <t>1980</t>
        </is>
      </c>
      <c r="P881" t="inlineStr">
        <is>
          <t>17a ed.</t>
        </is>
      </c>
      <c r="Q881" t="inlineStr">
        <is>
          <t>spa</t>
        </is>
      </c>
      <c r="R881" t="inlineStr">
        <is>
          <t xml:space="preserve">mx </t>
        </is>
      </c>
      <c r="S881" t="inlineStr">
        <is>
          <t>Biblioteca Era. Narrativa</t>
        </is>
      </c>
      <c r="T881" t="inlineStr">
        <is>
          <t xml:space="preserve">PQ </t>
        </is>
      </c>
      <c r="U881" t="n">
        <v>6</v>
      </c>
      <c r="V881" t="n">
        <v>6</v>
      </c>
      <c r="W881" t="inlineStr">
        <is>
          <t>1997-01-30</t>
        </is>
      </c>
      <c r="X881" t="inlineStr">
        <is>
          <t>1997-01-30</t>
        </is>
      </c>
      <c r="Y881" t="inlineStr">
        <is>
          <t>1991-08-12</t>
        </is>
      </c>
      <c r="Z881" t="inlineStr">
        <is>
          <t>1991-08-12</t>
        </is>
      </c>
      <c r="AA881" t="n">
        <v>6</v>
      </c>
      <c r="AB881" t="n">
        <v>5</v>
      </c>
      <c r="AC881" t="n">
        <v>792</v>
      </c>
      <c r="AD881" t="n">
        <v>1</v>
      </c>
      <c r="AE881" t="n">
        <v>5</v>
      </c>
      <c r="AF881" t="n">
        <v>0</v>
      </c>
      <c r="AG881" t="n">
        <v>32</v>
      </c>
      <c r="AH881" t="n">
        <v>0</v>
      </c>
      <c r="AI881" t="n">
        <v>14</v>
      </c>
      <c r="AJ881" t="n">
        <v>0</v>
      </c>
      <c r="AK881" t="n">
        <v>5</v>
      </c>
      <c r="AL881" t="n">
        <v>0</v>
      </c>
      <c r="AM881" t="n">
        <v>16</v>
      </c>
      <c r="AN881" t="n">
        <v>0</v>
      </c>
      <c r="AO881" t="n">
        <v>4</v>
      </c>
      <c r="AP881" t="n">
        <v>0</v>
      </c>
      <c r="AQ881" t="n">
        <v>0</v>
      </c>
      <c r="AR881" t="inlineStr">
        <is>
          <t>No</t>
        </is>
      </c>
      <c r="AS881" t="inlineStr">
        <is>
          <t>No</t>
        </is>
      </c>
      <c r="AU881">
        <f>HYPERLINK("https://creighton-primo.hosted.exlibrisgroup.com/primo-explore/search?tab=default_tab&amp;search_scope=EVERYTHING&amp;vid=01CRU&amp;lang=en_US&amp;offset=0&amp;query=any,contains,991000134119702656","Catalog Record")</f>
        <v/>
      </c>
      <c r="AV881">
        <f>HYPERLINK("http://www.worldcat.org/oclc/9127244","WorldCat Record")</f>
        <v/>
      </c>
      <c r="AW881" t="inlineStr">
        <is>
          <t>450908:spa</t>
        </is>
      </c>
      <c r="AX881" t="inlineStr">
        <is>
          <t>9127244</t>
        </is>
      </c>
      <c r="AY881" t="inlineStr">
        <is>
          <t>991000134119702656</t>
        </is>
      </c>
      <c r="AZ881" t="inlineStr">
        <is>
          <t>991000134119702656</t>
        </is>
      </c>
      <c r="BA881" t="inlineStr">
        <is>
          <t>2266584940002656</t>
        </is>
      </c>
      <c r="BB881" t="inlineStr">
        <is>
          <t>BOOK</t>
        </is>
      </c>
      <c r="BE881" t="inlineStr">
        <is>
          <t>32285000682665</t>
        </is>
      </c>
      <c r="BF881" t="inlineStr">
        <is>
          <t>893406963</t>
        </is>
      </c>
    </row>
    <row r="882">
      <c r="A882" t="inlineStr">
        <is>
          <t>No</t>
        </is>
      </c>
      <c r="B882" t="inlineStr">
        <is>
          <t>CURAL</t>
        </is>
      </c>
      <c r="C882" t="inlineStr">
        <is>
          <t>SHELVES</t>
        </is>
      </c>
      <c r="D882" t="inlineStr">
        <is>
          <t>PQ7297.G3 S26 1998</t>
        </is>
      </c>
      <c r="E882" t="inlineStr">
        <is>
          <t>0                      PQ 7297000G  3                  S  26          1998</t>
        </is>
      </c>
      <c r="F882" t="inlineStr">
        <is>
          <t>Santa / Federico Gamboa.</t>
        </is>
      </c>
      <c r="H882" t="inlineStr">
        <is>
          <t>No</t>
        </is>
      </c>
      <c r="I882" t="inlineStr">
        <is>
          <t>1</t>
        </is>
      </c>
      <c r="J882" t="inlineStr">
        <is>
          <t>No</t>
        </is>
      </c>
      <c r="K882" t="inlineStr">
        <is>
          <t>Yes</t>
        </is>
      </c>
      <c r="L882" t="inlineStr">
        <is>
          <t>0</t>
        </is>
      </c>
      <c r="M882" t="inlineStr">
        <is>
          <t>Gamboa, Federico, 1864-1939.</t>
        </is>
      </c>
      <c r="N882" t="inlineStr">
        <is>
          <t>México, D.F. : Oceano, c1998.</t>
        </is>
      </c>
      <c r="O882" t="inlineStr">
        <is>
          <t>1998</t>
        </is>
      </c>
      <c r="Q882" t="inlineStr">
        <is>
          <t>spa</t>
        </is>
      </c>
      <c r="R882" t="inlineStr">
        <is>
          <t xml:space="preserve">mx </t>
        </is>
      </c>
      <c r="T882" t="inlineStr">
        <is>
          <t xml:space="preserve">PQ </t>
        </is>
      </c>
      <c r="U882" t="n">
        <v>1</v>
      </c>
      <c r="V882" t="n">
        <v>1</v>
      </c>
      <c r="W882" t="inlineStr">
        <is>
          <t>2003-02-04</t>
        </is>
      </c>
      <c r="X882" t="inlineStr">
        <is>
          <t>2003-02-04</t>
        </is>
      </c>
      <c r="Y882" t="inlineStr">
        <is>
          <t>2003-02-04</t>
        </is>
      </c>
      <c r="Z882" t="inlineStr">
        <is>
          <t>2003-02-04</t>
        </is>
      </c>
      <c r="AA882" t="n">
        <v>19</v>
      </c>
      <c r="AB882" t="n">
        <v>14</v>
      </c>
      <c r="AC882" t="n">
        <v>450</v>
      </c>
      <c r="AD882" t="n">
        <v>1</v>
      </c>
      <c r="AE882" t="n">
        <v>3</v>
      </c>
      <c r="AF882" t="n">
        <v>0</v>
      </c>
      <c r="AG882" t="n">
        <v>15</v>
      </c>
      <c r="AH882" t="n">
        <v>0</v>
      </c>
      <c r="AI882" t="n">
        <v>5</v>
      </c>
      <c r="AJ882" t="n">
        <v>0</v>
      </c>
      <c r="AK882" t="n">
        <v>4</v>
      </c>
      <c r="AL882" t="n">
        <v>0</v>
      </c>
      <c r="AM882" t="n">
        <v>8</v>
      </c>
      <c r="AN882" t="n">
        <v>0</v>
      </c>
      <c r="AO882" t="n">
        <v>2</v>
      </c>
      <c r="AP882" t="n">
        <v>0</v>
      </c>
      <c r="AQ882" t="n">
        <v>0</v>
      </c>
      <c r="AR882" t="inlineStr">
        <is>
          <t>No</t>
        </is>
      </c>
      <c r="AS882" t="inlineStr">
        <is>
          <t>Yes</t>
        </is>
      </c>
      <c r="AT882">
        <f>HYPERLINK("http://catalog.hathitrust.org/Record/101097830","HathiTrust Record")</f>
        <v/>
      </c>
      <c r="AU882">
        <f>HYPERLINK("https://creighton-primo.hosted.exlibrisgroup.com/primo-explore/search?tab=default_tab&amp;search_scope=EVERYTHING&amp;vid=01CRU&amp;lang=en_US&amp;offset=0&amp;query=any,contains,991003924909702656","Catalog Record")</f>
        <v/>
      </c>
      <c r="AV882">
        <f>HYPERLINK("http://www.worldcat.org/oclc/49608159","WorldCat Record")</f>
        <v/>
      </c>
      <c r="AW882" t="inlineStr">
        <is>
          <t>3695422:spa</t>
        </is>
      </c>
      <c r="AX882" t="inlineStr">
        <is>
          <t>49608159</t>
        </is>
      </c>
      <c r="AY882" t="inlineStr">
        <is>
          <t>991003924909702656</t>
        </is>
      </c>
      <c r="AZ882" t="inlineStr">
        <is>
          <t>991003924909702656</t>
        </is>
      </c>
      <c r="BA882" t="inlineStr">
        <is>
          <t>2258962080002656</t>
        </is>
      </c>
      <c r="BB882" t="inlineStr">
        <is>
          <t>BOOK</t>
        </is>
      </c>
      <c r="BD882" t="inlineStr">
        <is>
          <t>9789706512116</t>
        </is>
      </c>
      <c r="BE882" t="inlineStr">
        <is>
          <t>32285004696992</t>
        </is>
      </c>
      <c r="BF882" t="inlineStr">
        <is>
          <t>893693327</t>
        </is>
      </c>
    </row>
    <row r="883">
      <c r="A883" t="inlineStr">
        <is>
          <t>No</t>
        </is>
      </c>
      <c r="B883" t="inlineStr">
        <is>
          <t>CURAL</t>
        </is>
      </c>
      <c r="C883" t="inlineStr">
        <is>
          <t>SHELVES</t>
        </is>
      </c>
      <c r="D883" t="inlineStr">
        <is>
          <t>PQ7297.G8 A15 1958</t>
        </is>
      </c>
      <c r="E883" t="inlineStr">
        <is>
          <t>0                      PQ 7297000G  8                  A  15          1958</t>
        </is>
      </c>
      <c r="F883" t="inlineStr">
        <is>
          <t>Cuentos completos y otras narraciones. Prólogo, edición y notas de E.K. Mapes. Estudio preliminar de Francisco González Guerrero.</t>
        </is>
      </c>
      <c r="H883" t="inlineStr">
        <is>
          <t>No</t>
        </is>
      </c>
      <c r="I883" t="inlineStr">
        <is>
          <t>1</t>
        </is>
      </c>
      <c r="J883" t="inlineStr">
        <is>
          <t>No</t>
        </is>
      </c>
      <c r="K883" t="inlineStr">
        <is>
          <t>No</t>
        </is>
      </c>
      <c r="L883" t="inlineStr">
        <is>
          <t>0</t>
        </is>
      </c>
      <c r="M883" t="inlineStr">
        <is>
          <t>Gutiérrez Nájera, Manuel, 1859-1895.</t>
        </is>
      </c>
      <c r="N883" t="inlineStr">
        <is>
          <t>México, Fondo de Cultura Económica [1958]</t>
        </is>
      </c>
      <c r="O883" t="inlineStr">
        <is>
          <t>1958</t>
        </is>
      </c>
      <c r="P883" t="inlineStr">
        <is>
          <t>[1. ed.]</t>
        </is>
      </c>
      <c r="Q883" t="inlineStr">
        <is>
          <t>spa</t>
        </is>
      </c>
      <c r="R883" t="inlineStr">
        <is>
          <t xml:space="preserve">mx </t>
        </is>
      </c>
      <c r="S883" t="inlineStr">
        <is>
          <t>Biblioteca americana [35] Serie de literatura moderna; vida y ficción</t>
        </is>
      </c>
      <c r="T883" t="inlineStr">
        <is>
          <t xml:space="preserve">PQ </t>
        </is>
      </c>
      <c r="U883" t="n">
        <v>2</v>
      </c>
      <c r="V883" t="n">
        <v>2</v>
      </c>
      <c r="W883" t="inlineStr">
        <is>
          <t>2001-11-04</t>
        </is>
      </c>
      <c r="X883" t="inlineStr">
        <is>
          <t>2001-11-04</t>
        </is>
      </c>
      <c r="Y883" t="inlineStr">
        <is>
          <t>1997-10-01</t>
        </is>
      </c>
      <c r="Z883" t="inlineStr">
        <is>
          <t>1997-10-01</t>
        </is>
      </c>
      <c r="AA883" t="n">
        <v>439</v>
      </c>
      <c r="AB883" t="n">
        <v>378</v>
      </c>
      <c r="AC883" t="n">
        <v>422</v>
      </c>
      <c r="AD883" t="n">
        <v>3</v>
      </c>
      <c r="AE883" t="n">
        <v>3</v>
      </c>
      <c r="AF883" t="n">
        <v>21</v>
      </c>
      <c r="AG883" t="n">
        <v>22</v>
      </c>
      <c r="AH883" t="n">
        <v>5</v>
      </c>
      <c r="AI883" t="n">
        <v>6</v>
      </c>
      <c r="AJ883" t="n">
        <v>7</v>
      </c>
      <c r="AK883" t="n">
        <v>7</v>
      </c>
      <c r="AL883" t="n">
        <v>11</v>
      </c>
      <c r="AM883" t="n">
        <v>11</v>
      </c>
      <c r="AN883" t="n">
        <v>2</v>
      </c>
      <c r="AO883" t="n">
        <v>2</v>
      </c>
      <c r="AP883" t="n">
        <v>0</v>
      </c>
      <c r="AQ883" t="n">
        <v>0</v>
      </c>
      <c r="AR883" t="inlineStr">
        <is>
          <t>No</t>
        </is>
      </c>
      <c r="AS883" t="inlineStr">
        <is>
          <t>Yes</t>
        </is>
      </c>
      <c r="AT883">
        <f>HYPERLINK("http://catalog.hathitrust.org/Record/001051825","HathiTrust Record")</f>
        <v/>
      </c>
      <c r="AU883">
        <f>HYPERLINK("https://creighton-primo.hosted.exlibrisgroup.com/primo-explore/search?tab=default_tab&amp;search_scope=EVERYTHING&amp;vid=01CRU&amp;lang=en_US&amp;offset=0&amp;query=any,contains,991002460439702656","Catalog Record")</f>
        <v/>
      </c>
      <c r="AV883">
        <f>HYPERLINK("http://www.worldcat.org/oclc/355814","WorldCat Record")</f>
        <v/>
      </c>
      <c r="AW883" t="inlineStr">
        <is>
          <t>209096256:spa</t>
        </is>
      </c>
      <c r="AX883" t="inlineStr">
        <is>
          <t>355814</t>
        </is>
      </c>
      <c r="AY883" t="inlineStr">
        <is>
          <t>991002460439702656</t>
        </is>
      </c>
      <c r="AZ883" t="inlineStr">
        <is>
          <t>991002460439702656</t>
        </is>
      </c>
      <c r="BA883" t="inlineStr">
        <is>
          <t>2264732750002656</t>
        </is>
      </c>
      <c r="BB883" t="inlineStr">
        <is>
          <t>BOOK</t>
        </is>
      </c>
      <c r="BE883" t="inlineStr">
        <is>
          <t>32285003237350</t>
        </is>
      </c>
      <c r="BF883" t="inlineStr">
        <is>
          <t>893616143</t>
        </is>
      </c>
    </row>
    <row r="884">
      <c r="A884" t="inlineStr">
        <is>
          <t>No</t>
        </is>
      </c>
      <c r="B884" t="inlineStr">
        <is>
          <t>CURAL</t>
        </is>
      </c>
      <c r="C884" t="inlineStr">
        <is>
          <t>SHELVES</t>
        </is>
      </c>
      <c r="D884" t="inlineStr">
        <is>
          <t>PQ7297.G8 A6 1988</t>
        </is>
      </c>
      <c r="E884" t="inlineStr">
        <is>
          <t>0                      PQ 7297000G  8                  A  6           1988</t>
        </is>
      </c>
      <c r="F884" t="inlineStr">
        <is>
          <t>Narraciones escogidas / Manuel Gutiérrez Nájera ; seleción y prólogo de Mirta Yáñez.</t>
        </is>
      </c>
      <c r="H884" t="inlineStr">
        <is>
          <t>No</t>
        </is>
      </c>
      <c r="I884" t="inlineStr">
        <is>
          <t>1</t>
        </is>
      </c>
      <c r="J884" t="inlineStr">
        <is>
          <t>No</t>
        </is>
      </c>
      <c r="K884" t="inlineStr">
        <is>
          <t>No</t>
        </is>
      </c>
      <c r="L884" t="inlineStr">
        <is>
          <t>0</t>
        </is>
      </c>
      <c r="M884" t="inlineStr">
        <is>
          <t>Gutiérrez Nájera, Manuel, 1859-1895.</t>
        </is>
      </c>
      <c r="N884" t="inlineStr">
        <is>
          <t>Ciudad de La Habana : Editorial Arte y Literatura, 1988.</t>
        </is>
      </c>
      <c r="O884" t="inlineStr">
        <is>
          <t>1988</t>
        </is>
      </c>
      <c r="Q884" t="inlineStr">
        <is>
          <t>spa</t>
        </is>
      </c>
      <c r="R884" t="inlineStr">
        <is>
          <t xml:space="preserve">cu </t>
        </is>
      </c>
      <c r="T884" t="inlineStr">
        <is>
          <t xml:space="preserve">PQ </t>
        </is>
      </c>
      <c r="U884" t="n">
        <v>1</v>
      </c>
      <c r="V884" t="n">
        <v>1</v>
      </c>
      <c r="W884" t="inlineStr">
        <is>
          <t>2002-04-03</t>
        </is>
      </c>
      <c r="X884" t="inlineStr">
        <is>
          <t>2002-04-03</t>
        </is>
      </c>
      <c r="Y884" t="inlineStr">
        <is>
          <t>2002-03-05</t>
        </is>
      </c>
      <c r="Z884" t="inlineStr">
        <is>
          <t>2002-03-05</t>
        </is>
      </c>
      <c r="AA884" t="n">
        <v>7</v>
      </c>
      <c r="AB884" t="n">
        <v>5</v>
      </c>
      <c r="AC884" t="n">
        <v>5</v>
      </c>
      <c r="AD884" t="n">
        <v>1</v>
      </c>
      <c r="AE884" t="n">
        <v>1</v>
      </c>
      <c r="AF884" t="n">
        <v>0</v>
      </c>
      <c r="AG884" t="n">
        <v>0</v>
      </c>
      <c r="AH884" t="n">
        <v>0</v>
      </c>
      <c r="AI884" t="n">
        <v>0</v>
      </c>
      <c r="AJ884" t="n">
        <v>0</v>
      </c>
      <c r="AK884" t="n">
        <v>0</v>
      </c>
      <c r="AL884" t="n">
        <v>0</v>
      </c>
      <c r="AM884" t="n">
        <v>0</v>
      </c>
      <c r="AN884" t="n">
        <v>0</v>
      </c>
      <c r="AO884" t="n">
        <v>0</v>
      </c>
      <c r="AP884" t="n">
        <v>0</v>
      </c>
      <c r="AQ884" t="n">
        <v>0</v>
      </c>
      <c r="AR884" t="inlineStr">
        <is>
          <t>No</t>
        </is>
      </c>
      <c r="AS884" t="inlineStr">
        <is>
          <t>No</t>
        </is>
      </c>
      <c r="AU884">
        <f>HYPERLINK("https://creighton-primo.hosted.exlibrisgroup.com/primo-explore/search?tab=default_tab&amp;search_scope=EVERYTHING&amp;vid=01CRU&amp;lang=en_US&amp;offset=0&amp;query=any,contains,991003757549702656","Catalog Record")</f>
        <v/>
      </c>
      <c r="AV884">
        <f>HYPERLINK("http://www.worldcat.org/oclc/23747995","WorldCat Record")</f>
        <v/>
      </c>
      <c r="AW884" t="inlineStr">
        <is>
          <t>197581971:spa</t>
        </is>
      </c>
      <c r="AX884" t="inlineStr">
        <is>
          <t>23747995</t>
        </is>
      </c>
      <c r="AY884" t="inlineStr">
        <is>
          <t>991003757549702656</t>
        </is>
      </c>
      <c r="AZ884" t="inlineStr">
        <is>
          <t>991003757549702656</t>
        </is>
      </c>
      <c r="BA884" t="inlineStr">
        <is>
          <t>2266457550002656</t>
        </is>
      </c>
      <c r="BB884" t="inlineStr">
        <is>
          <t>BOOK</t>
        </is>
      </c>
      <c r="BE884" t="inlineStr">
        <is>
          <t>32285004459854</t>
        </is>
      </c>
      <c r="BF884" t="inlineStr">
        <is>
          <t>893627753</t>
        </is>
      </c>
    </row>
    <row r="885">
      <c r="A885" t="inlineStr">
        <is>
          <t>No</t>
        </is>
      </c>
      <c r="B885" t="inlineStr">
        <is>
          <t>CURAL</t>
        </is>
      </c>
      <c r="C885" t="inlineStr">
        <is>
          <t>SHELVES</t>
        </is>
      </c>
      <c r="D885" t="inlineStr">
        <is>
          <t>PQ7297.M62 C83 1996</t>
        </is>
      </c>
      <c r="E885" t="inlineStr">
        <is>
          <t>0                      PQ 7297000M  62                 C  83          1996</t>
        </is>
      </c>
      <c r="F885" t="inlineStr">
        <is>
          <t>Cuentos, fábulas y Lo demás es silencio / Monterroso ; [prólogo por José-Miguel Ullán].</t>
        </is>
      </c>
      <c r="H885" t="inlineStr">
        <is>
          <t>No</t>
        </is>
      </c>
      <c r="I885" t="inlineStr">
        <is>
          <t>1</t>
        </is>
      </c>
      <c r="J885" t="inlineStr">
        <is>
          <t>No</t>
        </is>
      </c>
      <c r="K885" t="inlineStr">
        <is>
          <t>No</t>
        </is>
      </c>
      <c r="L885" t="inlineStr">
        <is>
          <t>0</t>
        </is>
      </c>
      <c r="M885" t="inlineStr">
        <is>
          <t>Monterroso, Augusto.</t>
        </is>
      </c>
      <c r="N885" t="inlineStr">
        <is>
          <t>México, D.F. : Alfaguara, 1996.</t>
        </is>
      </c>
      <c r="O885" t="inlineStr">
        <is>
          <t>1996</t>
        </is>
      </c>
      <c r="P885" t="inlineStr">
        <is>
          <t>1. ed.</t>
        </is>
      </c>
      <c r="Q885" t="inlineStr">
        <is>
          <t>spa</t>
        </is>
      </c>
      <c r="R885" t="inlineStr">
        <is>
          <t xml:space="preserve">mx </t>
        </is>
      </c>
      <c r="T885" t="inlineStr">
        <is>
          <t xml:space="preserve">PQ </t>
        </is>
      </c>
      <c r="U885" t="n">
        <v>1</v>
      </c>
      <c r="V885" t="n">
        <v>1</v>
      </c>
      <c r="W885" t="inlineStr">
        <is>
          <t>2002-05-08</t>
        </is>
      </c>
      <c r="X885" t="inlineStr">
        <is>
          <t>2002-05-08</t>
        </is>
      </c>
      <c r="Y885" t="inlineStr">
        <is>
          <t>2002-04-30</t>
        </is>
      </c>
      <c r="Z885" t="inlineStr">
        <is>
          <t>2002-04-30</t>
        </is>
      </c>
      <c r="AA885" t="n">
        <v>114</v>
      </c>
      <c r="AB885" t="n">
        <v>91</v>
      </c>
      <c r="AC885" t="n">
        <v>108</v>
      </c>
      <c r="AD885" t="n">
        <v>2</v>
      </c>
      <c r="AE885" t="n">
        <v>2</v>
      </c>
      <c r="AF885" t="n">
        <v>2</v>
      </c>
      <c r="AG885" t="n">
        <v>3</v>
      </c>
      <c r="AH885" t="n">
        <v>0</v>
      </c>
      <c r="AI885" t="n">
        <v>1</v>
      </c>
      <c r="AJ885" t="n">
        <v>1</v>
      </c>
      <c r="AK885" t="n">
        <v>1</v>
      </c>
      <c r="AL885" t="n">
        <v>1</v>
      </c>
      <c r="AM885" t="n">
        <v>2</v>
      </c>
      <c r="AN885" t="n">
        <v>1</v>
      </c>
      <c r="AO885" t="n">
        <v>1</v>
      </c>
      <c r="AP885" t="n">
        <v>0</v>
      </c>
      <c r="AQ885" t="n">
        <v>0</v>
      </c>
      <c r="AR885" t="inlineStr">
        <is>
          <t>No</t>
        </is>
      </c>
      <c r="AS885" t="inlineStr">
        <is>
          <t>Yes</t>
        </is>
      </c>
      <c r="AT885">
        <f>HYPERLINK("http://catalog.hathitrust.org/Record/003135522","HathiTrust Record")</f>
        <v/>
      </c>
      <c r="AU885">
        <f>HYPERLINK("https://creighton-primo.hosted.exlibrisgroup.com/primo-explore/search?tab=default_tab&amp;search_scope=EVERYTHING&amp;vid=01CRU&amp;lang=en_US&amp;offset=0&amp;query=any,contains,991003772219702656","Catalog Record")</f>
        <v/>
      </c>
      <c r="AV885">
        <f>HYPERLINK("http://www.worldcat.org/oclc/34927440","WorldCat Record")</f>
        <v/>
      </c>
      <c r="AW885" t="inlineStr">
        <is>
          <t>144998461:spa</t>
        </is>
      </c>
      <c r="AX885" t="inlineStr">
        <is>
          <t>34927440</t>
        </is>
      </c>
      <c r="AY885" t="inlineStr">
        <is>
          <t>991003772219702656</t>
        </is>
      </c>
      <c r="AZ885" t="inlineStr">
        <is>
          <t>991003772219702656</t>
        </is>
      </c>
      <c r="BA885" t="inlineStr">
        <is>
          <t>2257030930002656</t>
        </is>
      </c>
      <c r="BB885" t="inlineStr">
        <is>
          <t>BOOK</t>
        </is>
      </c>
      <c r="BD885" t="inlineStr">
        <is>
          <t>9789681902506</t>
        </is>
      </c>
      <c r="BE885" t="inlineStr">
        <is>
          <t>32285004484688</t>
        </is>
      </c>
      <c r="BF885" t="inlineStr">
        <is>
          <t>893718049</t>
        </is>
      </c>
    </row>
    <row r="886">
      <c r="A886" t="inlineStr">
        <is>
          <t>No</t>
        </is>
      </c>
      <c r="B886" t="inlineStr">
        <is>
          <t>CURAL</t>
        </is>
      </c>
      <c r="C886" t="inlineStr">
        <is>
          <t>SHELVES</t>
        </is>
      </c>
      <c r="D886" t="inlineStr">
        <is>
          <t>PQ7297.M62 R44 1995</t>
        </is>
      </c>
      <c r="E886" t="inlineStr">
        <is>
          <t>0                      PQ 7297000M  62                 R  44          1995</t>
        </is>
      </c>
      <c r="F886" t="inlineStr">
        <is>
          <t>Refracción : Augusto Monterroso ante la crítica / selección y prólogo de Will H. Corral.</t>
        </is>
      </c>
      <c r="H886" t="inlineStr">
        <is>
          <t>No</t>
        </is>
      </c>
      <c r="I886" t="inlineStr">
        <is>
          <t>1</t>
        </is>
      </c>
      <c r="J886" t="inlineStr">
        <is>
          <t>No</t>
        </is>
      </c>
      <c r="K886" t="inlineStr">
        <is>
          <t>No</t>
        </is>
      </c>
      <c r="L886" t="inlineStr">
        <is>
          <t>0</t>
        </is>
      </c>
      <c r="N886" t="inlineStr">
        <is>
          <t>México, D.F. : Coordinación de Difusión Cultural, Dirección de Literatura, Universidad Nacional Autónoma de México : Ediciones Era, 1995.</t>
        </is>
      </c>
      <c r="O886" t="inlineStr">
        <is>
          <t>1995</t>
        </is>
      </c>
      <c r="P886" t="inlineStr">
        <is>
          <t>1. ed.</t>
        </is>
      </c>
      <c r="Q886" t="inlineStr">
        <is>
          <t>spa</t>
        </is>
      </c>
      <c r="R886" t="inlineStr">
        <is>
          <t xml:space="preserve">mx </t>
        </is>
      </c>
      <c r="S886" t="inlineStr">
        <is>
          <t>Biblioteca Era</t>
        </is>
      </c>
      <c r="T886" t="inlineStr">
        <is>
          <t xml:space="preserve">PQ </t>
        </is>
      </c>
      <c r="U886" t="n">
        <v>1</v>
      </c>
      <c r="V886" t="n">
        <v>1</v>
      </c>
      <c r="W886" t="inlineStr">
        <is>
          <t>2002-05-08</t>
        </is>
      </c>
      <c r="X886" t="inlineStr">
        <is>
          <t>2002-05-08</t>
        </is>
      </c>
      <c r="Y886" t="inlineStr">
        <is>
          <t>2002-04-30</t>
        </is>
      </c>
      <c r="Z886" t="inlineStr">
        <is>
          <t>2002-04-30</t>
        </is>
      </c>
      <c r="AA886" t="n">
        <v>82</v>
      </c>
      <c r="AB886" t="n">
        <v>62</v>
      </c>
      <c r="AC886" t="n">
        <v>64</v>
      </c>
      <c r="AD886" t="n">
        <v>1</v>
      </c>
      <c r="AE886" t="n">
        <v>1</v>
      </c>
      <c r="AF886" t="n">
        <v>3</v>
      </c>
      <c r="AG886" t="n">
        <v>3</v>
      </c>
      <c r="AH886" t="n">
        <v>1</v>
      </c>
      <c r="AI886" t="n">
        <v>1</v>
      </c>
      <c r="AJ886" t="n">
        <v>0</v>
      </c>
      <c r="AK886" t="n">
        <v>0</v>
      </c>
      <c r="AL886" t="n">
        <v>3</v>
      </c>
      <c r="AM886" t="n">
        <v>3</v>
      </c>
      <c r="AN886" t="n">
        <v>0</v>
      </c>
      <c r="AO886" t="n">
        <v>0</v>
      </c>
      <c r="AP886" t="n">
        <v>0</v>
      </c>
      <c r="AQ886" t="n">
        <v>0</v>
      </c>
      <c r="AR886" t="inlineStr">
        <is>
          <t>No</t>
        </is>
      </c>
      <c r="AS886" t="inlineStr">
        <is>
          <t>Yes</t>
        </is>
      </c>
      <c r="AT886">
        <f>HYPERLINK("http://catalog.hathitrust.org/Record/003193887","HathiTrust Record")</f>
        <v/>
      </c>
      <c r="AU886">
        <f>HYPERLINK("https://creighton-primo.hosted.exlibrisgroup.com/primo-explore/search?tab=default_tab&amp;search_scope=EVERYTHING&amp;vid=01CRU&amp;lang=en_US&amp;offset=0&amp;query=any,contains,991003772709702656","Catalog Record")</f>
        <v/>
      </c>
      <c r="AV886">
        <f>HYPERLINK("http://www.worldcat.org/oclc/34290287","WorldCat Record")</f>
        <v/>
      </c>
      <c r="AW886" t="inlineStr">
        <is>
          <t>39985697:spa</t>
        </is>
      </c>
      <c r="AX886" t="inlineStr">
        <is>
          <t>34290287</t>
        </is>
      </c>
      <c r="AY886" t="inlineStr">
        <is>
          <t>991003772709702656</t>
        </is>
      </c>
      <c r="AZ886" t="inlineStr">
        <is>
          <t>991003772709702656</t>
        </is>
      </c>
      <c r="BA886" t="inlineStr">
        <is>
          <t>2257087710002656</t>
        </is>
      </c>
      <c r="BB886" t="inlineStr">
        <is>
          <t>BOOK</t>
        </is>
      </c>
      <c r="BD886" t="inlineStr">
        <is>
          <t>9789684113787</t>
        </is>
      </c>
      <c r="BE886" t="inlineStr">
        <is>
          <t>32285004484811</t>
        </is>
      </c>
      <c r="BF886" t="inlineStr">
        <is>
          <t>893330765</t>
        </is>
      </c>
    </row>
    <row r="887">
      <c r="A887" t="inlineStr">
        <is>
          <t>No</t>
        </is>
      </c>
      <c r="B887" t="inlineStr">
        <is>
          <t>CURAL</t>
        </is>
      </c>
      <c r="C887" t="inlineStr">
        <is>
          <t>SHELVES</t>
        </is>
      </c>
      <c r="D887" t="inlineStr">
        <is>
          <t>PQ7297.M62 S56 1994</t>
        </is>
      </c>
      <c r="E887" t="inlineStr">
        <is>
          <t>0                      PQ 7297000M  62                 S  56          1994</t>
        </is>
      </c>
      <c r="F887" t="inlineStr">
        <is>
          <t>Sinfonía concluida y otros cuentos / Augusto Monterroso ; prólogo, Alberto Barrera.</t>
        </is>
      </c>
      <c r="H887" t="inlineStr">
        <is>
          <t>No</t>
        </is>
      </c>
      <c r="I887" t="inlineStr">
        <is>
          <t>1</t>
        </is>
      </c>
      <c r="J887" t="inlineStr">
        <is>
          <t>No</t>
        </is>
      </c>
      <c r="K887" t="inlineStr">
        <is>
          <t>No</t>
        </is>
      </c>
      <c r="L887" t="inlineStr">
        <is>
          <t>0</t>
        </is>
      </c>
      <c r="M887" t="inlineStr">
        <is>
          <t>Monterroso, Augusto.</t>
        </is>
      </c>
      <c r="N887" t="inlineStr">
        <is>
          <t>Caracas, Venezuela : Monte Avila Editores Latinoamericana, 1994.</t>
        </is>
      </c>
      <c r="O887" t="inlineStr">
        <is>
          <t>1994</t>
        </is>
      </c>
      <c r="P887" t="inlineStr">
        <is>
          <t>1a. ed.</t>
        </is>
      </c>
      <c r="Q887" t="inlineStr">
        <is>
          <t>spa</t>
        </is>
      </c>
      <c r="R887" t="inlineStr">
        <is>
          <t xml:space="preserve">ve </t>
        </is>
      </c>
      <c r="S887" t="inlineStr">
        <is>
          <t>Continentes</t>
        </is>
      </c>
      <c r="T887" t="inlineStr">
        <is>
          <t xml:space="preserve">PQ </t>
        </is>
      </c>
      <c r="U887" t="n">
        <v>1</v>
      </c>
      <c r="V887" t="n">
        <v>1</v>
      </c>
      <c r="W887" t="inlineStr">
        <is>
          <t>2003-05-14</t>
        </is>
      </c>
      <c r="X887" t="inlineStr">
        <is>
          <t>2003-05-14</t>
        </is>
      </c>
      <c r="Y887" t="inlineStr">
        <is>
          <t>2003-05-14</t>
        </is>
      </c>
      <c r="Z887" t="inlineStr">
        <is>
          <t>2003-05-14</t>
        </is>
      </c>
      <c r="AA887" t="n">
        <v>55</v>
      </c>
      <c r="AB887" t="n">
        <v>49</v>
      </c>
      <c r="AC887" t="n">
        <v>54</v>
      </c>
      <c r="AD887" t="n">
        <v>1</v>
      </c>
      <c r="AE887" t="n">
        <v>1</v>
      </c>
      <c r="AF887" t="n">
        <v>1</v>
      </c>
      <c r="AG887" t="n">
        <v>1</v>
      </c>
      <c r="AH887" t="n">
        <v>1</v>
      </c>
      <c r="AI887" t="n">
        <v>1</v>
      </c>
      <c r="AJ887" t="n">
        <v>0</v>
      </c>
      <c r="AK887" t="n">
        <v>0</v>
      </c>
      <c r="AL887" t="n">
        <v>1</v>
      </c>
      <c r="AM887" t="n">
        <v>1</v>
      </c>
      <c r="AN887" t="n">
        <v>0</v>
      </c>
      <c r="AO887" t="n">
        <v>0</v>
      </c>
      <c r="AP887" t="n">
        <v>0</v>
      </c>
      <c r="AQ887" t="n">
        <v>0</v>
      </c>
      <c r="AR887" t="inlineStr">
        <is>
          <t>No</t>
        </is>
      </c>
      <c r="AS887" t="inlineStr">
        <is>
          <t>No</t>
        </is>
      </c>
      <c r="AU887">
        <f>HYPERLINK("https://creighton-primo.hosted.exlibrisgroup.com/primo-explore/search?tab=default_tab&amp;search_scope=EVERYTHING&amp;vid=01CRU&amp;lang=en_US&amp;offset=0&amp;query=any,contains,991004054069702656","Catalog Record")</f>
        <v/>
      </c>
      <c r="AV887">
        <f>HYPERLINK("http://www.worldcat.org/oclc/31018593","WorldCat Record")</f>
        <v/>
      </c>
      <c r="AW887" t="inlineStr">
        <is>
          <t>28086529:spa</t>
        </is>
      </c>
      <c r="AX887" t="inlineStr">
        <is>
          <t>31018593</t>
        </is>
      </c>
      <c r="AY887" t="inlineStr">
        <is>
          <t>991004054069702656</t>
        </is>
      </c>
      <c r="AZ887" t="inlineStr">
        <is>
          <t>991004054069702656</t>
        </is>
      </c>
      <c r="BA887" t="inlineStr">
        <is>
          <t>2269331910002656</t>
        </is>
      </c>
      <c r="BB887" t="inlineStr">
        <is>
          <t>BOOK</t>
        </is>
      </c>
      <c r="BD887" t="inlineStr">
        <is>
          <t>9789800107553</t>
        </is>
      </c>
      <c r="BE887" t="inlineStr">
        <is>
          <t>32285004632393</t>
        </is>
      </c>
      <c r="BF887" t="inlineStr">
        <is>
          <t>893624289</t>
        </is>
      </c>
    </row>
    <row r="888">
      <c r="A888" t="inlineStr">
        <is>
          <t>No</t>
        </is>
      </c>
      <c r="B888" t="inlineStr">
        <is>
          <t>CURAL</t>
        </is>
      </c>
      <c r="C888" t="inlineStr">
        <is>
          <t>SHELVES</t>
        </is>
      </c>
      <c r="D888" t="inlineStr">
        <is>
          <t>PQ7297.M62 Z63 1985</t>
        </is>
      </c>
      <c r="E888" t="inlineStr">
        <is>
          <t>0                      PQ 7297000M  62                 Z  63          1985</t>
        </is>
      </c>
      <c r="F888" t="inlineStr">
        <is>
          <t>Lector, sociedad y género en Monterroso / Wilfrido H. Corral.</t>
        </is>
      </c>
      <c r="H888" t="inlineStr">
        <is>
          <t>No</t>
        </is>
      </c>
      <c r="I888" t="inlineStr">
        <is>
          <t>1</t>
        </is>
      </c>
      <c r="J888" t="inlineStr">
        <is>
          <t>No</t>
        </is>
      </c>
      <c r="K888" t="inlineStr">
        <is>
          <t>No</t>
        </is>
      </c>
      <c r="L888" t="inlineStr">
        <is>
          <t>0</t>
        </is>
      </c>
      <c r="M888" t="inlineStr">
        <is>
          <t>Corral, Wilfrido H. (Wilfrido Howard)</t>
        </is>
      </c>
      <c r="N888" t="inlineStr">
        <is>
          <t>México : Centro de Investigaciones Lingüístico-Literarias , Instituto de Investigaciones Humanísticas, Universidad Veracruzana, 1985.</t>
        </is>
      </c>
      <c r="O888" t="inlineStr">
        <is>
          <t>1985</t>
        </is>
      </c>
      <c r="P888" t="inlineStr">
        <is>
          <t>1a ed.</t>
        </is>
      </c>
      <c r="Q888" t="inlineStr">
        <is>
          <t>spa</t>
        </is>
      </c>
      <c r="R888" t="inlineStr">
        <is>
          <t xml:space="preserve">mx </t>
        </is>
      </c>
      <c r="T888" t="inlineStr">
        <is>
          <t xml:space="preserve">PQ </t>
        </is>
      </c>
      <c r="U888" t="n">
        <v>1</v>
      </c>
      <c r="V888" t="n">
        <v>1</v>
      </c>
      <c r="W888" t="inlineStr">
        <is>
          <t>2005-03-02</t>
        </is>
      </c>
      <c r="X888" t="inlineStr">
        <is>
          <t>2005-03-02</t>
        </is>
      </c>
      <c r="Y888" t="inlineStr">
        <is>
          <t>2005-03-02</t>
        </is>
      </c>
      <c r="Z888" t="inlineStr">
        <is>
          <t>2005-03-02</t>
        </is>
      </c>
      <c r="AA888" t="n">
        <v>73</v>
      </c>
      <c r="AB888" t="n">
        <v>64</v>
      </c>
      <c r="AC888" t="n">
        <v>66</v>
      </c>
      <c r="AD888" t="n">
        <v>1</v>
      </c>
      <c r="AE888" t="n">
        <v>1</v>
      </c>
      <c r="AF888" t="n">
        <v>2</v>
      </c>
      <c r="AG888" t="n">
        <v>2</v>
      </c>
      <c r="AH888" t="n">
        <v>1</v>
      </c>
      <c r="AI888" t="n">
        <v>1</v>
      </c>
      <c r="AJ888" t="n">
        <v>1</v>
      </c>
      <c r="AK888" t="n">
        <v>1</v>
      </c>
      <c r="AL888" t="n">
        <v>2</v>
      </c>
      <c r="AM888" t="n">
        <v>2</v>
      </c>
      <c r="AN888" t="n">
        <v>0</v>
      </c>
      <c r="AO888" t="n">
        <v>0</v>
      </c>
      <c r="AP888" t="n">
        <v>0</v>
      </c>
      <c r="AQ888" t="n">
        <v>0</v>
      </c>
      <c r="AR888" t="inlineStr">
        <is>
          <t>No</t>
        </is>
      </c>
      <c r="AS888" t="inlineStr">
        <is>
          <t>Yes</t>
        </is>
      </c>
      <c r="AT888">
        <f>HYPERLINK("http://catalog.hathitrust.org/Record/101098244","HathiTrust Record")</f>
        <v/>
      </c>
      <c r="AU888">
        <f>HYPERLINK("https://creighton-primo.hosted.exlibrisgroup.com/primo-explore/search?tab=default_tab&amp;search_scope=EVERYTHING&amp;vid=01CRU&amp;lang=en_US&amp;offset=0&amp;query=any,contains,991004491039702656","Catalog Record")</f>
        <v/>
      </c>
      <c r="AV888">
        <f>HYPERLINK("http://www.worldcat.org/oclc/17296833","WorldCat Record")</f>
        <v/>
      </c>
      <c r="AW888" t="inlineStr">
        <is>
          <t>16161293:spa</t>
        </is>
      </c>
      <c r="AX888" t="inlineStr">
        <is>
          <t>17296833</t>
        </is>
      </c>
      <c r="AY888" t="inlineStr">
        <is>
          <t>991004491039702656</t>
        </is>
      </c>
      <c r="AZ888" t="inlineStr">
        <is>
          <t>991004491039702656</t>
        </is>
      </c>
      <c r="BA888" t="inlineStr">
        <is>
          <t>2267928140002656</t>
        </is>
      </c>
      <c r="BB888" t="inlineStr">
        <is>
          <t>BOOK</t>
        </is>
      </c>
      <c r="BD888" t="inlineStr">
        <is>
          <t>9789688340196</t>
        </is>
      </c>
      <c r="BE888" t="inlineStr">
        <is>
          <t>32285005029011</t>
        </is>
      </c>
      <c r="BF888" t="inlineStr">
        <is>
          <t>893331668</t>
        </is>
      </c>
    </row>
    <row r="889">
      <c r="A889" t="inlineStr">
        <is>
          <t>No</t>
        </is>
      </c>
      <c r="B889" t="inlineStr">
        <is>
          <t>CURAL</t>
        </is>
      </c>
      <c r="C889" t="inlineStr">
        <is>
          <t>SHELVES</t>
        </is>
      </c>
      <c r="D889" t="inlineStr">
        <is>
          <t>PQ7297.P285 Z54 1978</t>
        </is>
      </c>
      <c r="E889" t="inlineStr">
        <is>
          <t>0                      PQ 7297000P  285                Z  54          1978</t>
        </is>
      </c>
      <c r="F889" t="inlineStr">
        <is>
          <t>La divina pareja : historia y mito : valoración e interpretación de la obra ensayística de Octavio Paz / Jorge Aguilar Mora.</t>
        </is>
      </c>
      <c r="H889" t="inlineStr">
        <is>
          <t>No</t>
        </is>
      </c>
      <c r="I889" t="inlineStr">
        <is>
          <t>1</t>
        </is>
      </c>
      <c r="J889" t="inlineStr">
        <is>
          <t>No</t>
        </is>
      </c>
      <c r="K889" t="inlineStr">
        <is>
          <t>No</t>
        </is>
      </c>
      <c r="L889" t="inlineStr">
        <is>
          <t>0</t>
        </is>
      </c>
      <c r="M889" t="inlineStr">
        <is>
          <t>Aguilar Mora, Jorge.</t>
        </is>
      </c>
      <c r="N889" t="inlineStr">
        <is>
          <t>México : Ediciones Era, 1978.</t>
        </is>
      </c>
      <c r="O889" t="inlineStr">
        <is>
          <t>1978</t>
        </is>
      </c>
      <c r="P889" t="inlineStr">
        <is>
          <t>1. ed.</t>
        </is>
      </c>
      <c r="Q889" t="inlineStr">
        <is>
          <t>spa</t>
        </is>
      </c>
      <c r="R889" t="inlineStr">
        <is>
          <t xml:space="preserve">mx </t>
        </is>
      </c>
      <c r="S889" t="inlineStr">
        <is>
          <t>Biblioteca Era. Serie Claves</t>
        </is>
      </c>
      <c r="T889" t="inlineStr">
        <is>
          <t xml:space="preserve">PQ </t>
        </is>
      </c>
      <c r="U889" t="n">
        <v>2</v>
      </c>
      <c r="V889" t="n">
        <v>2</v>
      </c>
      <c r="W889" t="inlineStr">
        <is>
          <t>1998-04-22</t>
        </is>
      </c>
      <c r="X889" t="inlineStr">
        <is>
          <t>1998-04-22</t>
        </is>
      </c>
      <c r="Y889" t="inlineStr">
        <is>
          <t>1996-06-18</t>
        </is>
      </c>
      <c r="Z889" t="inlineStr">
        <is>
          <t>1996-06-18</t>
        </is>
      </c>
      <c r="AA889" t="n">
        <v>266</v>
      </c>
      <c r="AB889" t="n">
        <v>227</v>
      </c>
      <c r="AC889" t="n">
        <v>255</v>
      </c>
      <c r="AD889" t="n">
        <v>3</v>
      </c>
      <c r="AE889" t="n">
        <v>3</v>
      </c>
      <c r="AF889" t="n">
        <v>12</v>
      </c>
      <c r="AG889" t="n">
        <v>13</v>
      </c>
      <c r="AH889" t="n">
        <v>4</v>
      </c>
      <c r="AI889" t="n">
        <v>4</v>
      </c>
      <c r="AJ889" t="n">
        <v>3</v>
      </c>
      <c r="AK889" t="n">
        <v>4</v>
      </c>
      <c r="AL889" t="n">
        <v>7</v>
      </c>
      <c r="AM889" t="n">
        <v>7</v>
      </c>
      <c r="AN889" t="n">
        <v>2</v>
      </c>
      <c r="AO889" t="n">
        <v>2</v>
      </c>
      <c r="AP889" t="n">
        <v>0</v>
      </c>
      <c r="AQ889" t="n">
        <v>0</v>
      </c>
      <c r="AR889" t="inlineStr">
        <is>
          <t>No</t>
        </is>
      </c>
      <c r="AS889" t="inlineStr">
        <is>
          <t>Yes</t>
        </is>
      </c>
      <c r="AT889">
        <f>HYPERLINK("http://catalog.hathitrust.org/Record/000299623","HathiTrust Record")</f>
        <v/>
      </c>
      <c r="AU889">
        <f>HYPERLINK("https://creighton-primo.hosted.exlibrisgroup.com/primo-explore/search?tab=default_tab&amp;search_scope=EVERYTHING&amp;vid=01CRU&amp;lang=en_US&amp;offset=0&amp;query=any,contains,991004737689702656","Catalog Record")</f>
        <v/>
      </c>
      <c r="AV889">
        <f>HYPERLINK("http://www.worldcat.org/oclc/4860667","WorldCat Record")</f>
        <v/>
      </c>
      <c r="AW889" t="inlineStr">
        <is>
          <t>889420246:spa</t>
        </is>
      </c>
      <c r="AX889" t="inlineStr">
        <is>
          <t>4860667</t>
        </is>
      </c>
      <c r="AY889" t="inlineStr">
        <is>
          <t>991004737689702656</t>
        </is>
      </c>
      <c r="AZ889" t="inlineStr">
        <is>
          <t>991004737689702656</t>
        </is>
      </c>
      <c r="BA889" t="inlineStr">
        <is>
          <t>2262415680002656</t>
        </is>
      </c>
      <c r="BB889" t="inlineStr">
        <is>
          <t>BOOK</t>
        </is>
      </c>
      <c r="BE889" t="inlineStr">
        <is>
          <t>32285002194180</t>
        </is>
      </c>
      <c r="BF889" t="inlineStr">
        <is>
          <t>893876521</t>
        </is>
      </c>
    </row>
    <row r="890">
      <c r="A890" t="inlineStr">
        <is>
          <t>No</t>
        </is>
      </c>
      <c r="B890" t="inlineStr">
        <is>
          <t>CURAL</t>
        </is>
      </c>
      <c r="C890" t="inlineStr">
        <is>
          <t>SHELVES</t>
        </is>
      </c>
      <c r="D890" t="inlineStr">
        <is>
          <t>PQ7297.P285 Z76 1998</t>
        </is>
      </c>
      <c r="E890" t="inlineStr">
        <is>
          <t>0                      PQ 7297000P  285                Z  76          1998</t>
        </is>
      </c>
      <c r="F890" t="inlineStr">
        <is>
          <t>Octavio Paz : las palabras del árbol / Elena Poniatowska.</t>
        </is>
      </c>
      <c r="H890" t="inlineStr">
        <is>
          <t>No</t>
        </is>
      </c>
      <c r="I890" t="inlineStr">
        <is>
          <t>1</t>
        </is>
      </c>
      <c r="J890" t="inlineStr">
        <is>
          <t>No</t>
        </is>
      </c>
      <c r="K890" t="inlineStr">
        <is>
          <t>No</t>
        </is>
      </c>
      <c r="L890" t="inlineStr">
        <is>
          <t>0</t>
        </is>
      </c>
      <c r="M890" t="inlineStr">
        <is>
          <t>Poniatowska, Elena.</t>
        </is>
      </c>
      <c r="N890" t="inlineStr">
        <is>
          <t>Barcelona : Plaza Janés ; [New York] : Distributed by B.D.D., 1998.</t>
        </is>
      </c>
      <c r="O890" t="inlineStr">
        <is>
          <t>1998</t>
        </is>
      </c>
      <c r="P890" t="inlineStr">
        <is>
          <t>1. ed.</t>
        </is>
      </c>
      <c r="Q890" t="inlineStr">
        <is>
          <t>spa</t>
        </is>
      </c>
      <c r="R890" t="inlineStr">
        <is>
          <t xml:space="preserve">sp </t>
        </is>
      </c>
      <c r="T890" t="inlineStr">
        <is>
          <t xml:space="preserve">PQ </t>
        </is>
      </c>
      <c r="U890" t="n">
        <v>4</v>
      </c>
      <c r="V890" t="n">
        <v>4</v>
      </c>
      <c r="W890" t="inlineStr">
        <is>
          <t>2000-03-06</t>
        </is>
      </c>
      <c r="X890" t="inlineStr">
        <is>
          <t>2000-03-06</t>
        </is>
      </c>
      <c r="Y890" t="inlineStr">
        <is>
          <t>1998-11-04</t>
        </is>
      </c>
      <c r="Z890" t="inlineStr">
        <is>
          <t>1998-11-04</t>
        </is>
      </c>
      <c r="AA890" t="n">
        <v>184</v>
      </c>
      <c r="AB890" t="n">
        <v>169</v>
      </c>
      <c r="AC890" t="n">
        <v>348</v>
      </c>
      <c r="AD890" t="n">
        <v>1</v>
      </c>
      <c r="AE890" t="n">
        <v>3</v>
      </c>
      <c r="AF890" t="n">
        <v>3</v>
      </c>
      <c r="AG890" t="n">
        <v>10</v>
      </c>
      <c r="AH890" t="n">
        <v>3</v>
      </c>
      <c r="AI890" t="n">
        <v>3</v>
      </c>
      <c r="AJ890" t="n">
        <v>0</v>
      </c>
      <c r="AK890" t="n">
        <v>4</v>
      </c>
      <c r="AL890" t="n">
        <v>1</v>
      </c>
      <c r="AM890" t="n">
        <v>5</v>
      </c>
      <c r="AN890" t="n">
        <v>0</v>
      </c>
      <c r="AO890" t="n">
        <v>1</v>
      </c>
      <c r="AP890" t="n">
        <v>0</v>
      </c>
      <c r="AQ890" t="n">
        <v>0</v>
      </c>
      <c r="AR890" t="inlineStr">
        <is>
          <t>No</t>
        </is>
      </c>
      <c r="AS890" t="inlineStr">
        <is>
          <t>No</t>
        </is>
      </c>
      <c r="AU890">
        <f>HYPERLINK("https://creighton-primo.hosted.exlibrisgroup.com/primo-explore/search?tab=default_tab&amp;search_scope=EVERYTHING&amp;vid=01CRU&amp;lang=en_US&amp;offset=0&amp;query=any,contains,991002977529702656","Catalog Record")</f>
        <v/>
      </c>
      <c r="AV890">
        <f>HYPERLINK("http://www.worldcat.org/oclc/39949862","WorldCat Record")</f>
        <v/>
      </c>
      <c r="AW890" t="inlineStr">
        <is>
          <t>24117147:spa</t>
        </is>
      </c>
      <c r="AX890" t="inlineStr">
        <is>
          <t>39949862</t>
        </is>
      </c>
      <c r="AY890" t="inlineStr">
        <is>
          <t>991002977529702656</t>
        </is>
      </c>
      <c r="AZ890" t="inlineStr">
        <is>
          <t>991002977529702656</t>
        </is>
      </c>
      <c r="BA890" t="inlineStr">
        <is>
          <t>2268551460002656</t>
        </is>
      </c>
      <c r="BB890" t="inlineStr">
        <is>
          <t>BOOK</t>
        </is>
      </c>
      <c r="BD890" t="inlineStr">
        <is>
          <t>9780553060850</t>
        </is>
      </c>
      <c r="BE890" t="inlineStr">
        <is>
          <t>32285003485421</t>
        </is>
      </c>
      <c r="BF890" t="inlineStr">
        <is>
          <t>893867947</t>
        </is>
      </c>
    </row>
    <row r="891">
      <c r="A891" t="inlineStr">
        <is>
          <t>No</t>
        </is>
      </c>
      <c r="B891" t="inlineStr">
        <is>
          <t>CURAL</t>
        </is>
      </c>
      <c r="C891" t="inlineStr">
        <is>
          <t>SHELVES</t>
        </is>
      </c>
      <c r="D891" t="inlineStr">
        <is>
          <t>PQ7297.P285 Z883 1994</t>
        </is>
      </c>
      <c r="E891" t="inlineStr">
        <is>
          <t>0                      PQ 7297000P  285                Z  883         1994</t>
        </is>
      </c>
      <c r="F891" t="inlineStr">
        <is>
          <t>Octavio Paz en sus "Obras completas" / autores Adolfo Castañón ... [ et al.].</t>
        </is>
      </c>
      <c r="H891" t="inlineStr">
        <is>
          <t>No</t>
        </is>
      </c>
      <c r="I891" t="inlineStr">
        <is>
          <t>1</t>
        </is>
      </c>
      <c r="J891" t="inlineStr">
        <is>
          <t>No</t>
        </is>
      </c>
      <c r="K891" t="inlineStr">
        <is>
          <t>No</t>
        </is>
      </c>
      <c r="L891" t="inlineStr">
        <is>
          <t>0</t>
        </is>
      </c>
      <c r="N891" t="inlineStr">
        <is>
          <t>Carretera Picacho-Ajusco, México : Consejo Nacional Para La Cultura y Las Artes : Fondo de Cultura Económica, 1994.</t>
        </is>
      </c>
      <c r="O891" t="inlineStr">
        <is>
          <t>1994</t>
        </is>
      </c>
      <c r="P891" t="inlineStr">
        <is>
          <t>1. ed.</t>
        </is>
      </c>
      <c r="Q891" t="inlineStr">
        <is>
          <t>spa</t>
        </is>
      </c>
      <c r="R891" t="inlineStr">
        <is>
          <t xml:space="preserve">mx </t>
        </is>
      </c>
      <c r="S891" t="inlineStr">
        <is>
          <t>Cuadernos de La Gaceta ; 88</t>
        </is>
      </c>
      <c r="T891" t="inlineStr">
        <is>
          <t xml:space="preserve">PQ </t>
        </is>
      </c>
      <c r="U891" t="n">
        <v>2</v>
      </c>
      <c r="V891" t="n">
        <v>2</v>
      </c>
      <c r="W891" t="inlineStr">
        <is>
          <t>2002-01-27</t>
        </is>
      </c>
      <c r="X891" t="inlineStr">
        <is>
          <t>2002-01-27</t>
        </is>
      </c>
      <c r="Y891" t="inlineStr">
        <is>
          <t>1997-05-19</t>
        </is>
      </c>
      <c r="Z891" t="inlineStr">
        <is>
          <t>1997-05-19</t>
        </is>
      </c>
      <c r="AA891" t="n">
        <v>84</v>
      </c>
      <c r="AB891" t="n">
        <v>68</v>
      </c>
      <c r="AC891" t="n">
        <v>68</v>
      </c>
      <c r="AD891" t="n">
        <v>2</v>
      </c>
      <c r="AE891" t="n">
        <v>2</v>
      </c>
      <c r="AF891" t="n">
        <v>4</v>
      </c>
      <c r="AG891" t="n">
        <v>4</v>
      </c>
      <c r="AH891" t="n">
        <v>0</v>
      </c>
      <c r="AI891" t="n">
        <v>0</v>
      </c>
      <c r="AJ891" t="n">
        <v>2</v>
      </c>
      <c r="AK891" t="n">
        <v>2</v>
      </c>
      <c r="AL891" t="n">
        <v>3</v>
      </c>
      <c r="AM891" t="n">
        <v>3</v>
      </c>
      <c r="AN891" t="n">
        <v>1</v>
      </c>
      <c r="AO891" t="n">
        <v>1</v>
      </c>
      <c r="AP891" t="n">
        <v>0</v>
      </c>
      <c r="AQ891" t="n">
        <v>0</v>
      </c>
      <c r="AR891" t="inlineStr">
        <is>
          <t>No</t>
        </is>
      </c>
      <c r="AS891" t="inlineStr">
        <is>
          <t>No</t>
        </is>
      </c>
      <c r="AU891">
        <f>HYPERLINK("https://creighton-primo.hosted.exlibrisgroup.com/primo-explore/search?tab=default_tab&amp;search_scope=EVERYTHING&amp;vid=01CRU&amp;lang=en_US&amp;offset=0&amp;query=any,contains,991002617039702656","Catalog Record")</f>
        <v/>
      </c>
      <c r="AV891">
        <f>HYPERLINK("http://www.worldcat.org/oclc/34313645","WorldCat Record")</f>
        <v/>
      </c>
      <c r="AW891" t="inlineStr">
        <is>
          <t>39234523:spa</t>
        </is>
      </c>
      <c r="AX891" t="inlineStr">
        <is>
          <t>34313645</t>
        </is>
      </c>
      <c r="AY891" t="inlineStr">
        <is>
          <t>991002617039702656</t>
        </is>
      </c>
      <c r="AZ891" t="inlineStr">
        <is>
          <t>991002617039702656</t>
        </is>
      </c>
      <c r="BA891" t="inlineStr">
        <is>
          <t>2260086250002656</t>
        </is>
      </c>
      <c r="BB891" t="inlineStr">
        <is>
          <t>BOOK</t>
        </is>
      </c>
      <c r="BD891" t="inlineStr">
        <is>
          <t>9789681644987</t>
        </is>
      </c>
      <c r="BE891" t="inlineStr">
        <is>
          <t>32285002609468</t>
        </is>
      </c>
      <c r="BF891" t="inlineStr">
        <is>
          <t>893239285</t>
        </is>
      </c>
    </row>
    <row r="892">
      <c r="A892" t="inlineStr">
        <is>
          <t>No</t>
        </is>
      </c>
      <c r="B892" t="inlineStr">
        <is>
          <t>CURAL</t>
        </is>
      </c>
      <c r="C892" t="inlineStr">
        <is>
          <t>SHELVES</t>
        </is>
      </c>
      <c r="D892" t="inlineStr">
        <is>
          <t>PQ7297.P285 Z918 1976</t>
        </is>
      </c>
      <c r="E892" t="inlineStr">
        <is>
          <t>0                      PQ 7297000P  285                Z  918         1976</t>
        </is>
      </c>
      <c r="F892" t="inlineStr">
        <is>
          <t>Las estaciones poaeticas de Octavio Paz / por Rachel Phillips ; [traducciaon de Tomas Segovia].</t>
        </is>
      </c>
      <c r="H892" t="inlineStr">
        <is>
          <t>No</t>
        </is>
      </c>
      <c r="I892" t="inlineStr">
        <is>
          <t>1</t>
        </is>
      </c>
      <c r="J892" t="inlineStr">
        <is>
          <t>No</t>
        </is>
      </c>
      <c r="K892" t="inlineStr">
        <is>
          <t>No</t>
        </is>
      </c>
      <c r="L892" t="inlineStr">
        <is>
          <t>0</t>
        </is>
      </c>
      <c r="M892" t="inlineStr">
        <is>
          <t>Phillips, Rachel.</t>
        </is>
      </c>
      <c r="N892" t="inlineStr">
        <is>
          <t>Maexico : Fondo de Cultura Econaomica, c1976.</t>
        </is>
      </c>
      <c r="O892" t="inlineStr">
        <is>
          <t>1976</t>
        </is>
      </c>
      <c r="P892" t="inlineStr">
        <is>
          <t>1. ed. en espaanol.</t>
        </is>
      </c>
      <c r="Q892" t="inlineStr">
        <is>
          <t>spa</t>
        </is>
      </c>
      <c r="R892" t="inlineStr">
        <is>
          <t xml:space="preserve">mx </t>
        </is>
      </c>
      <c r="S892" t="inlineStr">
        <is>
          <t>Breviarios del Fondo de Cultura Econaomica ; 257</t>
        </is>
      </c>
      <c r="T892" t="inlineStr">
        <is>
          <t xml:space="preserve">PQ </t>
        </is>
      </c>
      <c r="U892" t="n">
        <v>1</v>
      </c>
      <c r="V892" t="n">
        <v>1</v>
      </c>
      <c r="W892" t="inlineStr">
        <is>
          <t>2004-08-05</t>
        </is>
      </c>
      <c r="X892" t="inlineStr">
        <is>
          <t>2004-08-05</t>
        </is>
      </c>
      <c r="Y892" t="inlineStr">
        <is>
          <t>2004-08-05</t>
        </is>
      </c>
      <c r="Z892" t="inlineStr">
        <is>
          <t>2004-08-05</t>
        </is>
      </c>
      <c r="AA892" t="n">
        <v>47</v>
      </c>
      <c r="AB892" t="n">
        <v>23</v>
      </c>
      <c r="AC892" t="n">
        <v>144</v>
      </c>
      <c r="AD892" t="n">
        <v>1</v>
      </c>
      <c r="AE892" t="n">
        <v>2</v>
      </c>
      <c r="AF892" t="n">
        <v>0</v>
      </c>
      <c r="AG892" t="n">
        <v>3</v>
      </c>
      <c r="AH892" t="n">
        <v>0</v>
      </c>
      <c r="AI892" t="n">
        <v>1</v>
      </c>
      <c r="AJ892" t="n">
        <v>0</v>
      </c>
      <c r="AK892" t="n">
        <v>0</v>
      </c>
      <c r="AL892" t="n">
        <v>0</v>
      </c>
      <c r="AM892" t="n">
        <v>1</v>
      </c>
      <c r="AN892" t="n">
        <v>0</v>
      </c>
      <c r="AO892" t="n">
        <v>1</v>
      </c>
      <c r="AP892" t="n">
        <v>0</v>
      </c>
      <c r="AQ892" t="n">
        <v>0</v>
      </c>
      <c r="AR892" t="inlineStr">
        <is>
          <t>No</t>
        </is>
      </c>
      <c r="AS892" t="inlineStr">
        <is>
          <t>No</t>
        </is>
      </c>
      <c r="AU892">
        <f>HYPERLINK("https://creighton-primo.hosted.exlibrisgroup.com/primo-explore/search?tab=default_tab&amp;search_scope=EVERYTHING&amp;vid=01CRU&amp;lang=en_US&amp;offset=0&amp;query=any,contains,991004339639702656","Catalog Record")</f>
        <v/>
      </c>
      <c r="AV892">
        <f>HYPERLINK("http://www.worldcat.org/oclc/40776032","WorldCat Record")</f>
        <v/>
      </c>
      <c r="AW892" t="inlineStr">
        <is>
          <t>1809040:spa</t>
        </is>
      </c>
      <c r="AX892" t="inlineStr">
        <is>
          <t>40776032</t>
        </is>
      </c>
      <c r="AY892" t="inlineStr">
        <is>
          <t>991004339639702656</t>
        </is>
      </c>
      <c r="AZ892" t="inlineStr">
        <is>
          <t>991004339639702656</t>
        </is>
      </c>
      <c r="BA892" t="inlineStr">
        <is>
          <t>2258955980002656</t>
        </is>
      </c>
      <c r="BB892" t="inlineStr">
        <is>
          <t>BOOK</t>
        </is>
      </c>
      <c r="BD892" t="inlineStr">
        <is>
          <t>9788437500843</t>
        </is>
      </c>
      <c r="BE892" t="inlineStr">
        <is>
          <t>32285004929229</t>
        </is>
      </c>
      <c r="BF892" t="inlineStr">
        <is>
          <t>893417508</t>
        </is>
      </c>
    </row>
    <row r="893">
      <c r="A893" t="inlineStr">
        <is>
          <t>No</t>
        </is>
      </c>
      <c r="B893" t="inlineStr">
        <is>
          <t>CURAL</t>
        </is>
      </c>
      <c r="C893" t="inlineStr">
        <is>
          <t>SHELVES</t>
        </is>
      </c>
      <c r="D893" t="inlineStr">
        <is>
          <t>PQ7297.P63 T5613 1996</t>
        </is>
      </c>
      <c r="E893" t="inlineStr">
        <is>
          <t>0                      PQ 7297000P  63                 T  5613        1996</t>
        </is>
      </c>
      <c r="F893" t="inlineStr">
        <is>
          <t>Tinisima / Elena Poniatowska ; translated by Katherine Silver.</t>
        </is>
      </c>
      <c r="H893" t="inlineStr">
        <is>
          <t>No</t>
        </is>
      </c>
      <c r="I893" t="inlineStr">
        <is>
          <t>1</t>
        </is>
      </c>
      <c r="J893" t="inlineStr">
        <is>
          <t>No</t>
        </is>
      </c>
      <c r="K893" t="inlineStr">
        <is>
          <t>No</t>
        </is>
      </c>
      <c r="L893" t="inlineStr">
        <is>
          <t>0</t>
        </is>
      </c>
      <c r="M893" t="inlineStr">
        <is>
          <t>Poniatowska, Elena.</t>
        </is>
      </c>
      <c r="N893" t="inlineStr">
        <is>
          <t>New York : Farrar, Straus, Giroux, 1996.</t>
        </is>
      </c>
      <c r="O893" t="inlineStr">
        <is>
          <t>1996</t>
        </is>
      </c>
      <c r="P893" t="inlineStr">
        <is>
          <t>1st American ed.</t>
        </is>
      </c>
      <c r="Q893" t="inlineStr">
        <is>
          <t>eng</t>
        </is>
      </c>
      <c r="R893" t="inlineStr">
        <is>
          <t>nyu</t>
        </is>
      </c>
      <c r="T893" t="inlineStr">
        <is>
          <t xml:space="preserve">PQ </t>
        </is>
      </c>
      <c r="U893" t="n">
        <v>9</v>
      </c>
      <c r="V893" t="n">
        <v>9</v>
      </c>
      <c r="W893" t="inlineStr">
        <is>
          <t>2004-09-22</t>
        </is>
      </c>
      <c r="X893" t="inlineStr">
        <is>
          <t>2004-09-22</t>
        </is>
      </c>
      <c r="Y893" t="inlineStr">
        <is>
          <t>1997-04-15</t>
        </is>
      </c>
      <c r="Z893" t="inlineStr">
        <is>
          <t>1997-04-15</t>
        </is>
      </c>
      <c r="AA893" t="n">
        <v>487</v>
      </c>
      <c r="AB893" t="n">
        <v>461</v>
      </c>
      <c r="AC893" t="n">
        <v>583</v>
      </c>
      <c r="AD893" t="n">
        <v>2</v>
      </c>
      <c r="AE893" t="n">
        <v>3</v>
      </c>
      <c r="AF893" t="n">
        <v>13</v>
      </c>
      <c r="AG893" t="n">
        <v>17</v>
      </c>
      <c r="AH893" t="n">
        <v>4</v>
      </c>
      <c r="AI893" t="n">
        <v>6</v>
      </c>
      <c r="AJ893" t="n">
        <v>5</v>
      </c>
      <c r="AK893" t="n">
        <v>6</v>
      </c>
      <c r="AL893" t="n">
        <v>7</v>
      </c>
      <c r="AM893" t="n">
        <v>9</v>
      </c>
      <c r="AN893" t="n">
        <v>1</v>
      </c>
      <c r="AO893" t="n">
        <v>2</v>
      </c>
      <c r="AP893" t="n">
        <v>0</v>
      </c>
      <c r="AQ893" t="n">
        <v>0</v>
      </c>
      <c r="AR893" t="inlineStr">
        <is>
          <t>No</t>
        </is>
      </c>
      <c r="AS893" t="inlineStr">
        <is>
          <t>No</t>
        </is>
      </c>
      <c r="AU893">
        <f>HYPERLINK("https://creighton-primo.hosted.exlibrisgroup.com/primo-explore/search?tab=default_tab&amp;search_scope=EVERYTHING&amp;vid=01CRU&amp;lang=en_US&amp;offset=0&amp;query=any,contains,991002619339702656","Catalog Record")</f>
        <v/>
      </c>
      <c r="AV893">
        <f>HYPERLINK("http://www.worldcat.org/oclc/34321535","WorldCat Record")</f>
        <v/>
      </c>
      <c r="AW893" t="inlineStr">
        <is>
          <t>594741:eng</t>
        </is>
      </c>
      <c r="AX893" t="inlineStr">
        <is>
          <t>34321535</t>
        </is>
      </c>
      <c r="AY893" t="inlineStr">
        <is>
          <t>991002619339702656</t>
        </is>
      </c>
      <c r="AZ893" t="inlineStr">
        <is>
          <t>991002619339702656</t>
        </is>
      </c>
      <c r="BA893" t="inlineStr">
        <is>
          <t>2257068740002656</t>
        </is>
      </c>
      <c r="BB893" t="inlineStr">
        <is>
          <t>BOOK</t>
        </is>
      </c>
      <c r="BD893" t="inlineStr">
        <is>
          <t>9780374277857</t>
        </is>
      </c>
      <c r="BE893" t="inlineStr">
        <is>
          <t>32285002497427</t>
        </is>
      </c>
      <c r="BF893" t="inlineStr">
        <is>
          <t>893510980</t>
        </is>
      </c>
    </row>
    <row r="894">
      <c r="A894" t="inlineStr">
        <is>
          <t>No</t>
        </is>
      </c>
      <c r="B894" t="inlineStr">
        <is>
          <t>CURAL</t>
        </is>
      </c>
      <c r="C894" t="inlineStr">
        <is>
          <t>SHELVES</t>
        </is>
      </c>
      <c r="D894" t="inlineStr">
        <is>
          <t>PQ7297.R2 B6 2000</t>
        </is>
      </c>
      <c r="E894" t="inlineStr">
        <is>
          <t>0                      PQ 7297000R  2                  B  6           2000</t>
        </is>
      </c>
      <c r="F894" t="inlineStr">
        <is>
          <t>La bola / Emilio Rabasa, prólogo de Carlos Monsiváia.</t>
        </is>
      </c>
      <c r="H894" t="inlineStr">
        <is>
          <t>No</t>
        </is>
      </c>
      <c r="I894" t="inlineStr">
        <is>
          <t>1</t>
        </is>
      </c>
      <c r="J894" t="inlineStr">
        <is>
          <t>No</t>
        </is>
      </c>
      <c r="K894" t="inlineStr">
        <is>
          <t>No</t>
        </is>
      </c>
      <c r="L894" t="inlineStr">
        <is>
          <t>0</t>
        </is>
      </c>
      <c r="M894" t="inlineStr">
        <is>
          <t>Rabasa, Emilio, 1856-1930.</t>
        </is>
      </c>
      <c r="N894" t="inlineStr">
        <is>
          <t>Mexico : Editorial Oceano, c2000.</t>
        </is>
      </c>
      <c r="O894" t="inlineStr">
        <is>
          <t>2000</t>
        </is>
      </c>
      <c r="P894" t="inlineStr">
        <is>
          <t>1a ed.</t>
        </is>
      </c>
      <c r="Q894" t="inlineStr">
        <is>
          <t>spa</t>
        </is>
      </c>
      <c r="R894" t="inlineStr">
        <is>
          <t xml:space="preserve">mx </t>
        </is>
      </c>
      <c r="S894" t="inlineStr">
        <is>
          <t>Biblioteca clásica y contemporánea</t>
        </is>
      </c>
      <c r="T894" t="inlineStr">
        <is>
          <t xml:space="preserve">PQ </t>
        </is>
      </c>
      <c r="U894" t="n">
        <v>1</v>
      </c>
      <c r="V894" t="n">
        <v>1</v>
      </c>
      <c r="W894" t="inlineStr">
        <is>
          <t>2003-02-04</t>
        </is>
      </c>
      <c r="X894" t="inlineStr">
        <is>
          <t>2003-02-04</t>
        </is>
      </c>
      <c r="Y894" t="inlineStr">
        <is>
          <t>2003-02-04</t>
        </is>
      </c>
      <c r="Z894" t="inlineStr">
        <is>
          <t>2003-02-04</t>
        </is>
      </c>
      <c r="AA894" t="n">
        <v>11</v>
      </c>
      <c r="AB894" t="n">
        <v>7</v>
      </c>
      <c r="AC894" t="n">
        <v>133</v>
      </c>
      <c r="AD894" t="n">
        <v>1</v>
      </c>
      <c r="AE894" t="n">
        <v>1</v>
      </c>
      <c r="AF894" t="n">
        <v>0</v>
      </c>
      <c r="AG894" t="n">
        <v>6</v>
      </c>
      <c r="AH894" t="n">
        <v>0</v>
      </c>
      <c r="AI894" t="n">
        <v>3</v>
      </c>
      <c r="AJ894" t="n">
        <v>0</v>
      </c>
      <c r="AK894" t="n">
        <v>3</v>
      </c>
      <c r="AL894" t="n">
        <v>0</v>
      </c>
      <c r="AM894" t="n">
        <v>5</v>
      </c>
      <c r="AN894" t="n">
        <v>0</v>
      </c>
      <c r="AO894" t="n">
        <v>0</v>
      </c>
      <c r="AP894" t="n">
        <v>0</v>
      </c>
      <c r="AQ894" t="n">
        <v>0</v>
      </c>
      <c r="AR894" t="inlineStr">
        <is>
          <t>No</t>
        </is>
      </c>
      <c r="AS894" t="inlineStr">
        <is>
          <t>No</t>
        </is>
      </c>
      <c r="AU894">
        <f>HYPERLINK("https://creighton-primo.hosted.exlibrisgroup.com/primo-explore/search?tab=default_tab&amp;search_scope=EVERYTHING&amp;vid=01CRU&amp;lang=en_US&amp;offset=0&amp;query=any,contains,991003924939702656","Catalog Record")</f>
        <v/>
      </c>
      <c r="AV894">
        <f>HYPERLINK("http://www.worldcat.org/oclc/49946652","WorldCat Record")</f>
        <v/>
      </c>
      <c r="AW894" t="inlineStr">
        <is>
          <t>4039912306:spa</t>
        </is>
      </c>
      <c r="AX894" t="inlineStr">
        <is>
          <t>49946652</t>
        </is>
      </c>
      <c r="AY894" t="inlineStr">
        <is>
          <t>991003924939702656</t>
        </is>
      </c>
      <c r="AZ894" t="inlineStr">
        <is>
          <t>991003924939702656</t>
        </is>
      </c>
      <c r="BA894" t="inlineStr">
        <is>
          <t>2270679180002656</t>
        </is>
      </c>
      <c r="BB894" t="inlineStr">
        <is>
          <t>BOOK</t>
        </is>
      </c>
      <c r="BD894" t="inlineStr">
        <is>
          <t>9789706512642</t>
        </is>
      </c>
      <c r="BE894" t="inlineStr">
        <is>
          <t>32285004696976</t>
        </is>
      </c>
      <c r="BF894" t="inlineStr">
        <is>
          <t>893711948</t>
        </is>
      </c>
    </row>
    <row r="895">
      <c r="A895" t="inlineStr">
        <is>
          <t>No</t>
        </is>
      </c>
      <c r="B895" t="inlineStr">
        <is>
          <t>CURAL</t>
        </is>
      </c>
      <c r="C895" t="inlineStr">
        <is>
          <t>SHELVES</t>
        </is>
      </c>
      <c r="D895" t="inlineStr">
        <is>
          <t>PQ7297.R386 D6</t>
        </is>
      </c>
      <c r="E895" t="inlineStr">
        <is>
          <t>0                      PQ 7297000R  386                D  6</t>
        </is>
      </c>
      <c r="F895" t="inlineStr">
        <is>
          <t>Los dos caminos / Alfonso Reyes.</t>
        </is>
      </c>
      <c r="H895" t="inlineStr">
        <is>
          <t>No</t>
        </is>
      </c>
      <c r="I895" t="inlineStr">
        <is>
          <t>1</t>
        </is>
      </c>
      <c r="J895" t="inlineStr">
        <is>
          <t>No</t>
        </is>
      </c>
      <c r="K895" t="inlineStr">
        <is>
          <t>No</t>
        </is>
      </c>
      <c r="L895" t="inlineStr">
        <is>
          <t>0</t>
        </is>
      </c>
      <c r="M895" t="inlineStr">
        <is>
          <t>Reyes, Alfonso, 1889-1959.</t>
        </is>
      </c>
      <c r="N895" t="inlineStr">
        <is>
          <t>Madrid : [s.n.], 1923.</t>
        </is>
      </c>
      <c r="O895" t="inlineStr">
        <is>
          <t>1923</t>
        </is>
      </c>
      <c r="Q895" t="inlineStr">
        <is>
          <t>spa</t>
        </is>
      </c>
      <c r="R895" t="inlineStr">
        <is>
          <t xml:space="preserve">sp </t>
        </is>
      </c>
      <c r="S895" t="inlineStr">
        <is>
          <t>Simpatías y diferencias ; 4</t>
        </is>
      </c>
      <c r="T895" t="inlineStr">
        <is>
          <t xml:space="preserve">PQ </t>
        </is>
      </c>
      <c r="U895" t="n">
        <v>1</v>
      </c>
      <c r="V895" t="n">
        <v>1</v>
      </c>
      <c r="W895" t="inlineStr">
        <is>
          <t>1997-11-16</t>
        </is>
      </c>
      <c r="X895" t="inlineStr">
        <is>
          <t>1997-11-16</t>
        </is>
      </c>
      <c r="Y895" t="inlineStr">
        <is>
          <t>1997-10-01</t>
        </is>
      </c>
      <c r="Z895" t="inlineStr">
        <is>
          <t>1997-10-01</t>
        </is>
      </c>
      <c r="AA895" t="n">
        <v>38</v>
      </c>
      <c r="AB895" t="n">
        <v>36</v>
      </c>
      <c r="AC895" t="n">
        <v>38</v>
      </c>
      <c r="AD895" t="n">
        <v>1</v>
      </c>
      <c r="AE895" t="n">
        <v>1</v>
      </c>
      <c r="AF895" t="n">
        <v>1</v>
      </c>
      <c r="AG895" t="n">
        <v>1</v>
      </c>
      <c r="AH895" t="n">
        <v>0</v>
      </c>
      <c r="AI895" t="n">
        <v>0</v>
      </c>
      <c r="AJ895" t="n">
        <v>1</v>
      </c>
      <c r="AK895" t="n">
        <v>1</v>
      </c>
      <c r="AL895" t="n">
        <v>1</v>
      </c>
      <c r="AM895" t="n">
        <v>1</v>
      </c>
      <c r="AN895" t="n">
        <v>0</v>
      </c>
      <c r="AO895" t="n">
        <v>0</v>
      </c>
      <c r="AP895" t="n">
        <v>0</v>
      </c>
      <c r="AQ895" t="n">
        <v>0</v>
      </c>
      <c r="AR895" t="inlineStr">
        <is>
          <t>Yes</t>
        </is>
      </c>
      <c r="AS895" t="inlineStr">
        <is>
          <t>No</t>
        </is>
      </c>
      <c r="AT895">
        <f>HYPERLINK("http://catalog.hathitrust.org/Record/101098575","HathiTrust Record")</f>
        <v/>
      </c>
      <c r="AU895">
        <f>HYPERLINK("https://creighton-primo.hosted.exlibrisgroup.com/primo-explore/search?tab=default_tab&amp;search_scope=EVERYTHING&amp;vid=01CRU&amp;lang=en_US&amp;offset=0&amp;query=any,contains,991004464569702656","Catalog Record")</f>
        <v/>
      </c>
      <c r="AV895">
        <f>HYPERLINK("http://www.worldcat.org/oclc/3560848","WorldCat Record")</f>
        <v/>
      </c>
      <c r="AW895" t="inlineStr">
        <is>
          <t>10227008510:spa</t>
        </is>
      </c>
      <c r="AX895" t="inlineStr">
        <is>
          <t>3560848</t>
        </is>
      </c>
      <c r="AY895" t="inlineStr">
        <is>
          <t>991004464569702656</t>
        </is>
      </c>
      <c r="AZ895" t="inlineStr">
        <is>
          <t>991004464569702656</t>
        </is>
      </c>
      <c r="BA895" t="inlineStr">
        <is>
          <t>2267809530002656</t>
        </is>
      </c>
      <c r="BB895" t="inlineStr">
        <is>
          <t>BOOK</t>
        </is>
      </c>
      <c r="BE895" t="inlineStr">
        <is>
          <t>32285003237574</t>
        </is>
      </c>
      <c r="BF895" t="inlineStr">
        <is>
          <t>893888739</t>
        </is>
      </c>
    </row>
    <row r="896">
      <c r="A896" t="inlineStr">
        <is>
          <t>No</t>
        </is>
      </c>
      <c r="B896" t="inlineStr">
        <is>
          <t>CURAL</t>
        </is>
      </c>
      <c r="C896" t="inlineStr">
        <is>
          <t>SHELVES</t>
        </is>
      </c>
      <c r="D896" t="inlineStr">
        <is>
          <t>PQ7297.R74 A6 1992</t>
        </is>
      </c>
      <c r="E896" t="inlineStr">
        <is>
          <t>0                      PQ 7297000R  74                 A  6           1992</t>
        </is>
      </c>
      <c r="F896" t="inlineStr">
        <is>
          <t>Cuentos completos / Francisco Rojas González.</t>
        </is>
      </c>
      <c r="H896" t="inlineStr">
        <is>
          <t>No</t>
        </is>
      </c>
      <c r="I896" t="inlineStr">
        <is>
          <t>1</t>
        </is>
      </c>
      <c r="J896" t="inlineStr">
        <is>
          <t>No</t>
        </is>
      </c>
      <c r="K896" t="inlineStr">
        <is>
          <t>No</t>
        </is>
      </c>
      <c r="L896" t="inlineStr">
        <is>
          <t>0</t>
        </is>
      </c>
      <c r="M896" t="inlineStr">
        <is>
          <t>Rojas González, Francisco, 1903-1951.</t>
        </is>
      </c>
      <c r="N896" t="inlineStr">
        <is>
          <t>México : Fondo de Cultura Económica, 1992.</t>
        </is>
      </c>
      <c r="O896" t="inlineStr">
        <is>
          <t>1992</t>
        </is>
      </c>
      <c r="P896" t="inlineStr">
        <is>
          <t>3a reimpresión.</t>
        </is>
      </c>
      <c r="Q896" t="inlineStr">
        <is>
          <t>spa</t>
        </is>
      </c>
      <c r="R896" t="inlineStr">
        <is>
          <t xml:space="preserve">mx </t>
        </is>
      </c>
      <c r="S896" t="inlineStr">
        <is>
          <t>Colección popular ; 158</t>
        </is>
      </c>
      <c r="T896" t="inlineStr">
        <is>
          <t xml:space="preserve">PQ </t>
        </is>
      </c>
      <c r="U896" t="n">
        <v>1</v>
      </c>
      <c r="V896" t="n">
        <v>1</v>
      </c>
      <c r="W896" t="inlineStr">
        <is>
          <t>1998-09-29</t>
        </is>
      </c>
      <c r="X896" t="inlineStr">
        <is>
          <t>1998-09-29</t>
        </is>
      </c>
      <c r="Y896" t="inlineStr">
        <is>
          <t>1997-06-05</t>
        </is>
      </c>
      <c r="Z896" t="inlineStr">
        <is>
          <t>1997-06-05</t>
        </is>
      </c>
      <c r="AA896" t="n">
        <v>19</v>
      </c>
      <c r="AB896" t="n">
        <v>17</v>
      </c>
      <c r="AC896" t="n">
        <v>183</v>
      </c>
      <c r="AD896" t="n">
        <v>1</v>
      </c>
      <c r="AE896" t="n">
        <v>2</v>
      </c>
      <c r="AF896" t="n">
        <v>1</v>
      </c>
      <c r="AG896" t="n">
        <v>3</v>
      </c>
      <c r="AH896" t="n">
        <v>0</v>
      </c>
      <c r="AI896" t="n">
        <v>0</v>
      </c>
      <c r="AJ896" t="n">
        <v>0</v>
      </c>
      <c r="AK896" t="n">
        <v>1</v>
      </c>
      <c r="AL896" t="n">
        <v>1</v>
      </c>
      <c r="AM896" t="n">
        <v>1</v>
      </c>
      <c r="AN896" t="n">
        <v>0</v>
      </c>
      <c r="AO896" t="n">
        <v>1</v>
      </c>
      <c r="AP896" t="n">
        <v>0</v>
      </c>
      <c r="AQ896" t="n">
        <v>0</v>
      </c>
      <c r="AR896" t="inlineStr">
        <is>
          <t>No</t>
        </is>
      </c>
      <c r="AS896" t="inlineStr">
        <is>
          <t>No</t>
        </is>
      </c>
      <c r="AU896">
        <f>HYPERLINK("https://creighton-primo.hosted.exlibrisgroup.com/primo-explore/search?tab=default_tab&amp;search_scope=EVERYTHING&amp;vid=01CRU&amp;lang=en_US&amp;offset=0&amp;query=any,contains,991002295099702656","Catalog Record")</f>
        <v/>
      </c>
      <c r="AV896">
        <f>HYPERLINK("http://www.worldcat.org/oclc/29772772","WorldCat Record")</f>
        <v/>
      </c>
      <c r="AW896" t="inlineStr">
        <is>
          <t>6930223:spa</t>
        </is>
      </c>
      <c r="AX896" t="inlineStr">
        <is>
          <t>29772772</t>
        </is>
      </c>
      <c r="AY896" t="inlineStr">
        <is>
          <t>991002295099702656</t>
        </is>
      </c>
      <c r="AZ896" t="inlineStr">
        <is>
          <t>991002295099702656</t>
        </is>
      </c>
      <c r="BA896" t="inlineStr">
        <is>
          <t>2256025570002656</t>
        </is>
      </c>
      <c r="BB896" t="inlineStr">
        <is>
          <t>BOOK</t>
        </is>
      </c>
      <c r="BD896" t="inlineStr">
        <is>
          <t>9789681609849</t>
        </is>
      </c>
      <c r="BE896" t="inlineStr">
        <is>
          <t>32285002614807</t>
        </is>
      </c>
      <c r="BF896" t="inlineStr">
        <is>
          <t>893347331</t>
        </is>
      </c>
    </row>
    <row r="897">
      <c r="A897" t="inlineStr">
        <is>
          <t>No</t>
        </is>
      </c>
      <c r="B897" t="inlineStr">
        <is>
          <t>CURAL</t>
        </is>
      </c>
      <c r="C897" t="inlineStr">
        <is>
          <t>SHELVES</t>
        </is>
      </c>
      <c r="D897" t="inlineStr">
        <is>
          <t>PQ7297.S438 A6 1996</t>
        </is>
      </c>
      <c r="E897" t="inlineStr">
        <is>
          <t>0                      PQ 7297000S  438                A  6           1996</t>
        </is>
      </c>
      <c r="F897" t="inlineStr">
        <is>
          <t>Partición = Partition / by Tomás Segovia ; translated from the Spanish by Myra S. Gann.</t>
        </is>
      </c>
      <c r="H897" t="inlineStr">
        <is>
          <t>No</t>
        </is>
      </c>
      <c r="I897" t="inlineStr">
        <is>
          <t>1</t>
        </is>
      </c>
      <c r="J897" t="inlineStr">
        <is>
          <t>No</t>
        </is>
      </c>
      <c r="K897" t="inlineStr">
        <is>
          <t>No</t>
        </is>
      </c>
      <c r="L897" t="inlineStr">
        <is>
          <t>0</t>
        </is>
      </c>
      <c r="M897" t="inlineStr">
        <is>
          <t>Segovia, Tomás.</t>
        </is>
      </c>
      <c r="N897" t="inlineStr">
        <is>
          <t>York, S.C. : Spanish Literature Publications Co., 1996.</t>
        </is>
      </c>
      <c r="O897" t="inlineStr">
        <is>
          <t>1996</t>
        </is>
      </c>
      <c r="Q897" t="inlineStr">
        <is>
          <t>spa</t>
        </is>
      </c>
      <c r="R897" t="inlineStr">
        <is>
          <t>scu</t>
        </is>
      </c>
      <c r="T897" t="inlineStr">
        <is>
          <t xml:space="preserve">PQ </t>
        </is>
      </c>
      <c r="U897" t="n">
        <v>1</v>
      </c>
      <c r="V897" t="n">
        <v>1</v>
      </c>
      <c r="W897" t="inlineStr">
        <is>
          <t>2003-04-16</t>
        </is>
      </c>
      <c r="X897" t="inlineStr">
        <is>
          <t>2003-04-16</t>
        </is>
      </c>
      <c r="Y897" t="inlineStr">
        <is>
          <t>2003-04-16</t>
        </is>
      </c>
      <c r="Z897" t="inlineStr">
        <is>
          <t>2003-04-16</t>
        </is>
      </c>
      <c r="AA897" t="n">
        <v>25</v>
      </c>
      <c r="AB897" t="n">
        <v>24</v>
      </c>
      <c r="AC897" t="n">
        <v>24</v>
      </c>
      <c r="AD897" t="n">
        <v>1</v>
      </c>
      <c r="AE897" t="n">
        <v>1</v>
      </c>
      <c r="AF897" t="n">
        <v>1</v>
      </c>
      <c r="AG897" t="n">
        <v>1</v>
      </c>
      <c r="AH897" t="n">
        <v>0</v>
      </c>
      <c r="AI897" t="n">
        <v>0</v>
      </c>
      <c r="AJ897" t="n">
        <v>0</v>
      </c>
      <c r="AK897" t="n">
        <v>0</v>
      </c>
      <c r="AL897" t="n">
        <v>1</v>
      </c>
      <c r="AM897" t="n">
        <v>1</v>
      </c>
      <c r="AN897" t="n">
        <v>0</v>
      </c>
      <c r="AO897" t="n">
        <v>0</v>
      </c>
      <c r="AP897" t="n">
        <v>0</v>
      </c>
      <c r="AQ897" t="n">
        <v>0</v>
      </c>
      <c r="AR897" t="inlineStr">
        <is>
          <t>No</t>
        </is>
      </c>
      <c r="AS897" t="inlineStr">
        <is>
          <t>No</t>
        </is>
      </c>
      <c r="AU897">
        <f>HYPERLINK("https://creighton-primo.hosted.exlibrisgroup.com/primo-explore/search?tab=default_tab&amp;search_scope=EVERYTHING&amp;vid=01CRU&amp;lang=en_US&amp;offset=0&amp;query=any,contains,991004027859702656","Catalog Record")</f>
        <v/>
      </c>
      <c r="AV897">
        <f>HYPERLINK("http://www.worldcat.org/oclc/37274117","WorldCat Record")</f>
        <v/>
      </c>
      <c r="AW897" t="inlineStr">
        <is>
          <t>9407631:spa</t>
        </is>
      </c>
      <c r="AX897" t="inlineStr">
        <is>
          <t>37274117</t>
        </is>
      </c>
      <c r="AY897" t="inlineStr">
        <is>
          <t>991004027859702656</t>
        </is>
      </c>
      <c r="AZ897" t="inlineStr">
        <is>
          <t>991004027859702656</t>
        </is>
      </c>
      <c r="BA897" t="inlineStr">
        <is>
          <t>2272223570002656</t>
        </is>
      </c>
      <c r="BB897" t="inlineStr">
        <is>
          <t>BOOK</t>
        </is>
      </c>
      <c r="BD897" t="inlineStr">
        <is>
          <t>9780938972273</t>
        </is>
      </c>
      <c r="BE897" t="inlineStr">
        <is>
          <t>32285004742754</t>
        </is>
      </c>
      <c r="BF897" t="inlineStr">
        <is>
          <t>893806563</t>
        </is>
      </c>
    </row>
    <row r="898">
      <c r="A898" t="inlineStr">
        <is>
          <t>No</t>
        </is>
      </c>
      <c r="B898" t="inlineStr">
        <is>
          <t>CURAL</t>
        </is>
      </c>
      <c r="C898" t="inlineStr">
        <is>
          <t>SHELVES</t>
        </is>
      </c>
      <c r="D898" t="inlineStr">
        <is>
          <t>PQ7297.S64 S6 1973</t>
        </is>
      </c>
      <c r="E898" t="inlineStr">
        <is>
          <t>0                      PQ 7297000S  64                 S  6           1973</t>
        </is>
      </c>
      <c r="F898" t="inlineStr">
        <is>
          <t>Spiks : stories / by Pedro Juan Soto. Translated and with an introduction by Victoria Ortiz.</t>
        </is>
      </c>
      <c r="H898" t="inlineStr">
        <is>
          <t>No</t>
        </is>
      </c>
      <c r="I898" t="inlineStr">
        <is>
          <t>1</t>
        </is>
      </c>
      <c r="J898" t="inlineStr">
        <is>
          <t>No</t>
        </is>
      </c>
      <c r="K898" t="inlineStr">
        <is>
          <t>No</t>
        </is>
      </c>
      <c r="L898" t="inlineStr">
        <is>
          <t>0</t>
        </is>
      </c>
      <c r="M898" t="inlineStr">
        <is>
          <t>Soto, Pedro Juan.</t>
        </is>
      </c>
      <c r="N898" t="inlineStr">
        <is>
          <t>New York : Monthly Review Press, [1973]</t>
        </is>
      </c>
      <c r="O898" t="inlineStr">
        <is>
          <t>1973</t>
        </is>
      </c>
      <c r="Q898" t="inlineStr">
        <is>
          <t>eng</t>
        </is>
      </c>
      <c r="R898" t="inlineStr">
        <is>
          <t>nyu</t>
        </is>
      </c>
      <c r="T898" t="inlineStr">
        <is>
          <t xml:space="preserve">PQ </t>
        </is>
      </c>
      <c r="U898" t="n">
        <v>1</v>
      </c>
      <c r="V898" t="n">
        <v>1</v>
      </c>
      <c r="W898" t="inlineStr">
        <is>
          <t>2004-06-10</t>
        </is>
      </c>
      <c r="X898" t="inlineStr">
        <is>
          <t>2004-06-10</t>
        </is>
      </c>
      <c r="Y898" t="inlineStr">
        <is>
          <t>2004-06-10</t>
        </is>
      </c>
      <c r="Z898" t="inlineStr">
        <is>
          <t>2004-06-10</t>
        </is>
      </c>
      <c r="AA898" t="n">
        <v>348</v>
      </c>
      <c r="AB898" t="n">
        <v>315</v>
      </c>
      <c r="AC898" t="n">
        <v>325</v>
      </c>
      <c r="AD898" t="n">
        <v>2</v>
      </c>
      <c r="AE898" t="n">
        <v>2</v>
      </c>
      <c r="AF898" t="n">
        <v>13</v>
      </c>
      <c r="AG898" t="n">
        <v>13</v>
      </c>
      <c r="AH898" t="n">
        <v>6</v>
      </c>
      <c r="AI898" t="n">
        <v>6</v>
      </c>
      <c r="AJ898" t="n">
        <v>3</v>
      </c>
      <c r="AK898" t="n">
        <v>3</v>
      </c>
      <c r="AL898" t="n">
        <v>4</v>
      </c>
      <c r="AM898" t="n">
        <v>4</v>
      </c>
      <c r="AN898" t="n">
        <v>1</v>
      </c>
      <c r="AO898" t="n">
        <v>1</v>
      </c>
      <c r="AP898" t="n">
        <v>0</v>
      </c>
      <c r="AQ898" t="n">
        <v>0</v>
      </c>
      <c r="AR898" t="inlineStr">
        <is>
          <t>No</t>
        </is>
      </c>
      <c r="AS898" t="inlineStr">
        <is>
          <t>Yes</t>
        </is>
      </c>
      <c r="AT898">
        <f>HYPERLINK("http://catalog.hathitrust.org/Record/000010060","HathiTrust Record")</f>
        <v/>
      </c>
      <c r="AU898">
        <f>HYPERLINK("https://creighton-primo.hosted.exlibrisgroup.com/primo-explore/search?tab=default_tab&amp;search_scope=EVERYTHING&amp;vid=01CRU&amp;lang=en_US&amp;offset=0&amp;query=any,contains,991004311149702656","Catalog Record")</f>
        <v/>
      </c>
      <c r="AV898">
        <f>HYPERLINK("http://www.worldcat.org/oclc/704792","WorldCat Record")</f>
        <v/>
      </c>
      <c r="AW898" t="inlineStr">
        <is>
          <t>510048:eng</t>
        </is>
      </c>
      <c r="AX898" t="inlineStr">
        <is>
          <t>704792</t>
        </is>
      </c>
      <c r="AY898" t="inlineStr">
        <is>
          <t>991004311149702656</t>
        </is>
      </c>
      <c r="AZ898" t="inlineStr">
        <is>
          <t>991004311149702656</t>
        </is>
      </c>
      <c r="BA898" t="inlineStr">
        <is>
          <t>2259214220002656</t>
        </is>
      </c>
      <c r="BB898" t="inlineStr">
        <is>
          <t>BOOK</t>
        </is>
      </c>
      <c r="BD898" t="inlineStr">
        <is>
          <t>9780853453314</t>
        </is>
      </c>
      <c r="BE898" t="inlineStr">
        <is>
          <t>32285004909403</t>
        </is>
      </c>
      <c r="BF898" t="inlineStr">
        <is>
          <t>893532246</t>
        </is>
      </c>
    </row>
    <row r="899">
      <c r="A899" t="inlineStr">
        <is>
          <t>No</t>
        </is>
      </c>
      <c r="B899" t="inlineStr">
        <is>
          <t>CURAL</t>
        </is>
      </c>
      <c r="C899" t="inlineStr">
        <is>
          <t>SHELVES</t>
        </is>
      </c>
      <c r="D899" t="inlineStr">
        <is>
          <t>PQ7297.U85 T4</t>
        </is>
      </c>
      <c r="E899" t="inlineStr">
        <is>
          <t>0                      PQ 7297000U  85                 T  4</t>
        </is>
      </c>
      <c r="F899" t="inlineStr">
        <is>
          <t>Teatro completo.</t>
        </is>
      </c>
      <c r="G899" t="inlineStr">
        <is>
          <t>V. 1</t>
        </is>
      </c>
      <c r="H899" t="inlineStr">
        <is>
          <t>Yes</t>
        </is>
      </c>
      <c r="I899" t="inlineStr">
        <is>
          <t>1</t>
        </is>
      </c>
      <c r="J899" t="inlineStr">
        <is>
          <t>No</t>
        </is>
      </c>
      <c r="K899" t="inlineStr">
        <is>
          <t>No</t>
        </is>
      </c>
      <c r="L899" t="inlineStr">
        <is>
          <t>0</t>
        </is>
      </c>
      <c r="M899" t="inlineStr">
        <is>
          <t>Usigli, Rodolfo, 1905-1979.</t>
        </is>
      </c>
      <c r="N899" t="inlineStr">
        <is>
          <t>México] Fondo de Cultura Económica [1963-66]</t>
        </is>
      </c>
      <c r="O899" t="inlineStr">
        <is>
          <t>1963</t>
        </is>
      </c>
      <c r="P899" t="inlineStr">
        <is>
          <t>[1. ed.</t>
        </is>
      </c>
      <c r="Q899" t="inlineStr">
        <is>
          <t>spa</t>
        </is>
      </c>
      <c r="R899" t="inlineStr">
        <is>
          <t xml:space="preserve">mx </t>
        </is>
      </c>
      <c r="S899" t="inlineStr">
        <is>
          <t>Letras mexicanas</t>
        </is>
      </c>
      <c r="T899" t="inlineStr">
        <is>
          <t xml:space="preserve">PQ </t>
        </is>
      </c>
      <c r="U899" t="n">
        <v>1</v>
      </c>
      <c r="V899" t="n">
        <v>4</v>
      </c>
      <c r="W899" t="inlineStr">
        <is>
          <t>2003-04-27</t>
        </is>
      </c>
      <c r="X899" t="inlineStr">
        <is>
          <t>2003-04-27</t>
        </is>
      </c>
      <c r="Y899" t="inlineStr">
        <is>
          <t>1997-10-01</t>
        </is>
      </c>
      <c r="Z899" t="inlineStr">
        <is>
          <t>2002-06-17</t>
        </is>
      </c>
      <c r="AA899" t="n">
        <v>447</v>
      </c>
      <c r="AB899" t="n">
        <v>390</v>
      </c>
      <c r="AC899" t="n">
        <v>411</v>
      </c>
      <c r="AD899" t="n">
        <v>4</v>
      </c>
      <c r="AE899" t="n">
        <v>4</v>
      </c>
      <c r="AF899" t="n">
        <v>18</v>
      </c>
      <c r="AG899" t="n">
        <v>18</v>
      </c>
      <c r="AH899" t="n">
        <v>5</v>
      </c>
      <c r="AI899" t="n">
        <v>5</v>
      </c>
      <c r="AJ899" t="n">
        <v>4</v>
      </c>
      <c r="AK899" t="n">
        <v>4</v>
      </c>
      <c r="AL899" t="n">
        <v>10</v>
      </c>
      <c r="AM899" t="n">
        <v>10</v>
      </c>
      <c r="AN899" t="n">
        <v>3</v>
      </c>
      <c r="AO899" t="n">
        <v>3</v>
      </c>
      <c r="AP899" t="n">
        <v>0</v>
      </c>
      <c r="AQ899" t="n">
        <v>0</v>
      </c>
      <c r="AR899" t="inlineStr">
        <is>
          <t>No</t>
        </is>
      </c>
      <c r="AS899" t="inlineStr">
        <is>
          <t>Yes</t>
        </is>
      </c>
      <c r="AT899">
        <f>HYPERLINK("http://catalog.hathitrust.org/Record/000852510","HathiTrust Record")</f>
        <v/>
      </c>
      <c r="AU899">
        <f>HYPERLINK("https://creighton-primo.hosted.exlibrisgroup.com/primo-explore/search?tab=default_tab&amp;search_scope=EVERYTHING&amp;vid=01CRU&amp;lang=en_US&amp;offset=0&amp;query=any,contains,991002447859702656","Catalog Record")</f>
        <v/>
      </c>
      <c r="AV899">
        <f>HYPERLINK("http://www.worldcat.org/oclc/352026","WorldCat Record")</f>
        <v/>
      </c>
      <c r="AW899" t="inlineStr">
        <is>
          <t>3373435892:spa</t>
        </is>
      </c>
      <c r="AX899" t="inlineStr">
        <is>
          <t>352026</t>
        </is>
      </c>
      <c r="AY899" t="inlineStr">
        <is>
          <t>991002447859702656</t>
        </is>
      </c>
      <c r="AZ899" t="inlineStr">
        <is>
          <t>991002447859702656</t>
        </is>
      </c>
      <c r="BA899" t="inlineStr">
        <is>
          <t>2265279150002656</t>
        </is>
      </c>
      <c r="BB899" t="inlineStr">
        <is>
          <t>BOOK</t>
        </is>
      </c>
      <c r="BE899" t="inlineStr">
        <is>
          <t>32285003237640</t>
        </is>
      </c>
      <c r="BF899" t="inlineStr">
        <is>
          <t>893415209</t>
        </is>
      </c>
    </row>
    <row r="900">
      <c r="A900" t="inlineStr">
        <is>
          <t>No</t>
        </is>
      </c>
      <c r="B900" t="inlineStr">
        <is>
          <t>CURAL</t>
        </is>
      </c>
      <c r="C900" t="inlineStr">
        <is>
          <t>SHELVES</t>
        </is>
      </c>
      <c r="D900" t="inlineStr">
        <is>
          <t>PQ7297.U85 T4</t>
        </is>
      </c>
      <c r="E900" t="inlineStr">
        <is>
          <t>0                      PQ 7297000U  85                 T  4</t>
        </is>
      </c>
      <c r="F900" t="inlineStr">
        <is>
          <t>Teatro completo.</t>
        </is>
      </c>
      <c r="G900" t="inlineStr">
        <is>
          <t>V. 4</t>
        </is>
      </c>
      <c r="H900" t="inlineStr">
        <is>
          <t>Yes</t>
        </is>
      </c>
      <c r="I900" t="inlineStr">
        <is>
          <t>1</t>
        </is>
      </c>
      <c r="J900" t="inlineStr">
        <is>
          <t>No</t>
        </is>
      </c>
      <c r="K900" t="inlineStr">
        <is>
          <t>No</t>
        </is>
      </c>
      <c r="L900" t="inlineStr">
        <is>
          <t>0</t>
        </is>
      </c>
      <c r="M900" t="inlineStr">
        <is>
          <t>Usigli, Rodolfo, 1905-1979.</t>
        </is>
      </c>
      <c r="N900" t="inlineStr">
        <is>
          <t>México] Fondo de Cultura Económica [1963-66]</t>
        </is>
      </c>
      <c r="O900" t="inlineStr">
        <is>
          <t>1963</t>
        </is>
      </c>
      <c r="P900" t="inlineStr">
        <is>
          <t>[1. ed.</t>
        </is>
      </c>
      <c r="Q900" t="inlineStr">
        <is>
          <t>spa</t>
        </is>
      </c>
      <c r="R900" t="inlineStr">
        <is>
          <t xml:space="preserve">mx </t>
        </is>
      </c>
      <c r="S900" t="inlineStr">
        <is>
          <t>Letras mexicanas</t>
        </is>
      </c>
      <c r="T900" t="inlineStr">
        <is>
          <t xml:space="preserve">PQ </t>
        </is>
      </c>
      <c r="U900" t="n">
        <v>1</v>
      </c>
      <c r="V900" t="n">
        <v>4</v>
      </c>
      <c r="W900" t="inlineStr">
        <is>
          <t>2002-05-16</t>
        </is>
      </c>
      <c r="X900" t="inlineStr">
        <is>
          <t>2003-04-27</t>
        </is>
      </c>
      <c r="Y900" t="inlineStr">
        <is>
          <t>2002-04-30</t>
        </is>
      </c>
      <c r="Z900" t="inlineStr">
        <is>
          <t>2002-06-17</t>
        </is>
      </c>
      <c r="AA900" t="n">
        <v>447</v>
      </c>
      <c r="AB900" t="n">
        <v>390</v>
      </c>
      <c r="AC900" t="n">
        <v>411</v>
      </c>
      <c r="AD900" t="n">
        <v>4</v>
      </c>
      <c r="AE900" t="n">
        <v>4</v>
      </c>
      <c r="AF900" t="n">
        <v>18</v>
      </c>
      <c r="AG900" t="n">
        <v>18</v>
      </c>
      <c r="AH900" t="n">
        <v>5</v>
      </c>
      <c r="AI900" t="n">
        <v>5</v>
      </c>
      <c r="AJ900" t="n">
        <v>4</v>
      </c>
      <c r="AK900" t="n">
        <v>4</v>
      </c>
      <c r="AL900" t="n">
        <v>10</v>
      </c>
      <c r="AM900" t="n">
        <v>10</v>
      </c>
      <c r="AN900" t="n">
        <v>3</v>
      </c>
      <c r="AO900" t="n">
        <v>3</v>
      </c>
      <c r="AP900" t="n">
        <v>0</v>
      </c>
      <c r="AQ900" t="n">
        <v>0</v>
      </c>
      <c r="AR900" t="inlineStr">
        <is>
          <t>No</t>
        </is>
      </c>
      <c r="AS900" t="inlineStr">
        <is>
          <t>Yes</t>
        </is>
      </c>
      <c r="AT900">
        <f>HYPERLINK("http://catalog.hathitrust.org/Record/000852510","HathiTrust Record")</f>
        <v/>
      </c>
      <c r="AU900">
        <f>HYPERLINK("https://creighton-primo.hosted.exlibrisgroup.com/primo-explore/search?tab=default_tab&amp;search_scope=EVERYTHING&amp;vid=01CRU&amp;lang=en_US&amp;offset=0&amp;query=any,contains,991002447859702656","Catalog Record")</f>
        <v/>
      </c>
      <c r="AV900">
        <f>HYPERLINK("http://www.worldcat.org/oclc/352026","WorldCat Record")</f>
        <v/>
      </c>
      <c r="AW900" t="inlineStr">
        <is>
          <t>3373435892:spa</t>
        </is>
      </c>
      <c r="AX900" t="inlineStr">
        <is>
          <t>352026</t>
        </is>
      </c>
      <c r="AY900" t="inlineStr">
        <is>
          <t>991002447859702656</t>
        </is>
      </c>
      <c r="AZ900" t="inlineStr">
        <is>
          <t>991002447859702656</t>
        </is>
      </c>
      <c r="BA900" t="inlineStr">
        <is>
          <t>2265279150002656</t>
        </is>
      </c>
      <c r="BB900" t="inlineStr">
        <is>
          <t>BOOK</t>
        </is>
      </c>
      <c r="BE900" t="inlineStr">
        <is>
          <t>32285004484944</t>
        </is>
      </c>
      <c r="BF900" t="inlineStr">
        <is>
          <t>893445166</t>
        </is>
      </c>
    </row>
    <row r="901">
      <c r="A901" t="inlineStr">
        <is>
          <t>No</t>
        </is>
      </c>
      <c r="B901" t="inlineStr">
        <is>
          <t>CURAL</t>
        </is>
      </c>
      <c r="C901" t="inlineStr">
        <is>
          <t>SHELVES</t>
        </is>
      </c>
      <c r="D901" t="inlineStr">
        <is>
          <t>PQ7297.U85 T4</t>
        </is>
      </c>
      <c r="E901" t="inlineStr">
        <is>
          <t>0                      PQ 7297000U  85                 T  4</t>
        </is>
      </c>
      <c r="F901" t="inlineStr">
        <is>
          <t>Teatro completo.</t>
        </is>
      </c>
      <c r="G901" t="inlineStr">
        <is>
          <t>V. 3</t>
        </is>
      </c>
      <c r="H901" t="inlineStr">
        <is>
          <t>Yes</t>
        </is>
      </c>
      <c r="I901" t="inlineStr">
        <is>
          <t>1</t>
        </is>
      </c>
      <c r="J901" t="inlineStr">
        <is>
          <t>No</t>
        </is>
      </c>
      <c r="K901" t="inlineStr">
        <is>
          <t>No</t>
        </is>
      </c>
      <c r="L901" t="inlineStr">
        <is>
          <t>0</t>
        </is>
      </c>
      <c r="M901" t="inlineStr">
        <is>
          <t>Usigli, Rodolfo, 1905-1979.</t>
        </is>
      </c>
      <c r="N901" t="inlineStr">
        <is>
          <t>México] Fondo de Cultura Económica [1963-66]</t>
        </is>
      </c>
      <c r="O901" t="inlineStr">
        <is>
          <t>1963</t>
        </is>
      </c>
      <c r="P901" t="inlineStr">
        <is>
          <t>[1. ed.</t>
        </is>
      </c>
      <c r="Q901" t="inlineStr">
        <is>
          <t>spa</t>
        </is>
      </c>
      <c r="R901" t="inlineStr">
        <is>
          <t xml:space="preserve">mx </t>
        </is>
      </c>
      <c r="S901" t="inlineStr">
        <is>
          <t>Letras mexicanas</t>
        </is>
      </c>
      <c r="T901" t="inlineStr">
        <is>
          <t xml:space="preserve">PQ </t>
        </is>
      </c>
      <c r="U901" t="n">
        <v>0</v>
      </c>
      <c r="V901" t="n">
        <v>4</v>
      </c>
      <c r="W901" t="inlineStr">
        <is>
          <t>2002-07-10</t>
        </is>
      </c>
      <c r="X901" t="inlineStr">
        <is>
          <t>2003-04-27</t>
        </is>
      </c>
      <c r="Y901" t="inlineStr">
        <is>
          <t>2002-06-17</t>
        </is>
      </c>
      <c r="Z901" t="inlineStr">
        <is>
          <t>2002-06-17</t>
        </is>
      </c>
      <c r="AA901" t="n">
        <v>447</v>
      </c>
      <c r="AB901" t="n">
        <v>390</v>
      </c>
      <c r="AC901" t="n">
        <v>411</v>
      </c>
      <c r="AD901" t="n">
        <v>4</v>
      </c>
      <c r="AE901" t="n">
        <v>4</v>
      </c>
      <c r="AF901" t="n">
        <v>18</v>
      </c>
      <c r="AG901" t="n">
        <v>18</v>
      </c>
      <c r="AH901" t="n">
        <v>5</v>
      </c>
      <c r="AI901" t="n">
        <v>5</v>
      </c>
      <c r="AJ901" t="n">
        <v>4</v>
      </c>
      <c r="AK901" t="n">
        <v>4</v>
      </c>
      <c r="AL901" t="n">
        <v>10</v>
      </c>
      <c r="AM901" t="n">
        <v>10</v>
      </c>
      <c r="AN901" t="n">
        <v>3</v>
      </c>
      <c r="AO901" t="n">
        <v>3</v>
      </c>
      <c r="AP901" t="n">
        <v>0</v>
      </c>
      <c r="AQ901" t="n">
        <v>0</v>
      </c>
      <c r="AR901" t="inlineStr">
        <is>
          <t>No</t>
        </is>
      </c>
      <c r="AS901" t="inlineStr">
        <is>
          <t>Yes</t>
        </is>
      </c>
      <c r="AT901">
        <f>HYPERLINK("http://catalog.hathitrust.org/Record/000852510","HathiTrust Record")</f>
        <v/>
      </c>
      <c r="AU901">
        <f>HYPERLINK("https://creighton-primo.hosted.exlibrisgroup.com/primo-explore/search?tab=default_tab&amp;search_scope=EVERYTHING&amp;vid=01CRU&amp;lang=en_US&amp;offset=0&amp;query=any,contains,991002447859702656","Catalog Record")</f>
        <v/>
      </c>
      <c r="AV901">
        <f>HYPERLINK("http://www.worldcat.org/oclc/352026","WorldCat Record")</f>
        <v/>
      </c>
      <c r="AW901" t="inlineStr">
        <is>
          <t>3373435892:spa</t>
        </is>
      </c>
      <c r="AX901" t="inlineStr">
        <is>
          <t>352026</t>
        </is>
      </c>
      <c r="AY901" t="inlineStr">
        <is>
          <t>991002447859702656</t>
        </is>
      </c>
      <c r="AZ901" t="inlineStr">
        <is>
          <t>991002447859702656</t>
        </is>
      </c>
      <c r="BA901" t="inlineStr">
        <is>
          <t>2265279150002656</t>
        </is>
      </c>
      <c r="BB901" t="inlineStr">
        <is>
          <t>BOOK</t>
        </is>
      </c>
      <c r="BE901" t="inlineStr">
        <is>
          <t>32285004494588</t>
        </is>
      </c>
      <c r="BF901" t="inlineStr">
        <is>
          <t>893445167</t>
        </is>
      </c>
    </row>
    <row r="902">
      <c r="A902" t="inlineStr">
        <is>
          <t>No</t>
        </is>
      </c>
      <c r="B902" t="inlineStr">
        <is>
          <t>CURAL</t>
        </is>
      </c>
      <c r="C902" t="inlineStr">
        <is>
          <t>SHELVES</t>
        </is>
      </c>
      <c r="D902" t="inlineStr">
        <is>
          <t>PQ7297.U85 T4</t>
        </is>
      </c>
      <c r="E902" t="inlineStr">
        <is>
          <t>0                      PQ 7297000U  85                 T  4</t>
        </is>
      </c>
      <c r="F902" t="inlineStr">
        <is>
          <t>Teatro completo.</t>
        </is>
      </c>
      <c r="G902" t="inlineStr">
        <is>
          <t>V. 2</t>
        </is>
      </c>
      <c r="H902" t="inlineStr">
        <is>
          <t>Yes</t>
        </is>
      </c>
      <c r="I902" t="inlineStr">
        <is>
          <t>1</t>
        </is>
      </c>
      <c r="J902" t="inlineStr">
        <is>
          <t>No</t>
        </is>
      </c>
      <c r="K902" t="inlineStr">
        <is>
          <t>No</t>
        </is>
      </c>
      <c r="L902" t="inlineStr">
        <is>
          <t>0</t>
        </is>
      </c>
      <c r="M902" t="inlineStr">
        <is>
          <t>Usigli, Rodolfo, 1905-1979.</t>
        </is>
      </c>
      <c r="N902" t="inlineStr">
        <is>
          <t>México] Fondo de Cultura Económica [1963-66]</t>
        </is>
      </c>
      <c r="O902" t="inlineStr">
        <is>
          <t>1963</t>
        </is>
      </c>
      <c r="P902" t="inlineStr">
        <is>
          <t>[1. ed.</t>
        </is>
      </c>
      <c r="Q902" t="inlineStr">
        <is>
          <t>spa</t>
        </is>
      </c>
      <c r="R902" t="inlineStr">
        <is>
          <t xml:space="preserve">mx </t>
        </is>
      </c>
      <c r="S902" t="inlineStr">
        <is>
          <t>Letras mexicanas</t>
        </is>
      </c>
      <c r="T902" t="inlineStr">
        <is>
          <t xml:space="preserve">PQ </t>
        </is>
      </c>
      <c r="U902" t="n">
        <v>2</v>
      </c>
      <c r="V902" t="n">
        <v>4</v>
      </c>
      <c r="W902" t="inlineStr">
        <is>
          <t>2003-04-02</t>
        </is>
      </c>
      <c r="X902" t="inlineStr">
        <is>
          <t>2003-04-27</t>
        </is>
      </c>
      <c r="Y902" t="inlineStr">
        <is>
          <t>1997-10-01</t>
        </is>
      </c>
      <c r="Z902" t="inlineStr">
        <is>
          <t>2002-06-17</t>
        </is>
      </c>
      <c r="AA902" t="n">
        <v>447</v>
      </c>
      <c r="AB902" t="n">
        <v>390</v>
      </c>
      <c r="AC902" t="n">
        <v>411</v>
      </c>
      <c r="AD902" t="n">
        <v>4</v>
      </c>
      <c r="AE902" t="n">
        <v>4</v>
      </c>
      <c r="AF902" t="n">
        <v>18</v>
      </c>
      <c r="AG902" t="n">
        <v>18</v>
      </c>
      <c r="AH902" t="n">
        <v>5</v>
      </c>
      <c r="AI902" t="n">
        <v>5</v>
      </c>
      <c r="AJ902" t="n">
        <v>4</v>
      </c>
      <c r="AK902" t="n">
        <v>4</v>
      </c>
      <c r="AL902" t="n">
        <v>10</v>
      </c>
      <c r="AM902" t="n">
        <v>10</v>
      </c>
      <c r="AN902" t="n">
        <v>3</v>
      </c>
      <c r="AO902" t="n">
        <v>3</v>
      </c>
      <c r="AP902" t="n">
        <v>0</v>
      </c>
      <c r="AQ902" t="n">
        <v>0</v>
      </c>
      <c r="AR902" t="inlineStr">
        <is>
          <t>No</t>
        </is>
      </c>
      <c r="AS902" t="inlineStr">
        <is>
          <t>Yes</t>
        </is>
      </c>
      <c r="AT902">
        <f>HYPERLINK("http://catalog.hathitrust.org/Record/000852510","HathiTrust Record")</f>
        <v/>
      </c>
      <c r="AU902">
        <f>HYPERLINK("https://creighton-primo.hosted.exlibrisgroup.com/primo-explore/search?tab=default_tab&amp;search_scope=EVERYTHING&amp;vid=01CRU&amp;lang=en_US&amp;offset=0&amp;query=any,contains,991002447859702656","Catalog Record")</f>
        <v/>
      </c>
      <c r="AV902">
        <f>HYPERLINK("http://www.worldcat.org/oclc/352026","WorldCat Record")</f>
        <v/>
      </c>
      <c r="AW902" t="inlineStr">
        <is>
          <t>3373435892:spa</t>
        </is>
      </c>
      <c r="AX902" t="inlineStr">
        <is>
          <t>352026</t>
        </is>
      </c>
      <c r="AY902" t="inlineStr">
        <is>
          <t>991002447859702656</t>
        </is>
      </c>
      <c r="AZ902" t="inlineStr">
        <is>
          <t>991002447859702656</t>
        </is>
      </c>
      <c r="BA902" t="inlineStr">
        <is>
          <t>2265279150002656</t>
        </is>
      </c>
      <c r="BB902" t="inlineStr">
        <is>
          <t>BOOK</t>
        </is>
      </c>
      <c r="BE902" t="inlineStr">
        <is>
          <t>32285003237657</t>
        </is>
      </c>
      <c r="BF902" t="inlineStr">
        <is>
          <t>893445168</t>
        </is>
      </c>
    </row>
    <row r="903">
      <c r="A903" t="inlineStr">
        <is>
          <t>No</t>
        </is>
      </c>
      <c r="B903" t="inlineStr">
        <is>
          <t>CURAL</t>
        </is>
      </c>
      <c r="C903" t="inlineStr">
        <is>
          <t>SHELVES</t>
        </is>
      </c>
      <c r="D903" t="inlineStr">
        <is>
          <t>PQ7298 .B46 1987</t>
        </is>
      </c>
      <c r="E903" t="inlineStr">
        <is>
          <t>0                      PQ 7298000B  46          1987</t>
        </is>
      </c>
      <c r="F903" t="inlineStr">
        <is>
          <t>El agua envenenada / Fernando Benítez.</t>
        </is>
      </c>
      <c r="H903" t="inlineStr">
        <is>
          <t>No</t>
        </is>
      </c>
      <c r="I903" t="inlineStr">
        <is>
          <t>1</t>
        </is>
      </c>
      <c r="J903" t="inlineStr">
        <is>
          <t>No</t>
        </is>
      </c>
      <c r="K903" t="inlineStr">
        <is>
          <t>No</t>
        </is>
      </c>
      <c r="L903" t="inlineStr">
        <is>
          <t>0</t>
        </is>
      </c>
      <c r="M903" t="inlineStr">
        <is>
          <t>Benítez, Fernando, 1912-2000.</t>
        </is>
      </c>
      <c r="N903" t="inlineStr">
        <is>
          <t>México : Fondo de Cultura Económica, 1987.</t>
        </is>
      </c>
      <c r="O903" t="inlineStr">
        <is>
          <t>1987</t>
        </is>
      </c>
      <c r="Q903" t="inlineStr">
        <is>
          <t>spa</t>
        </is>
      </c>
      <c r="R903" t="inlineStr">
        <is>
          <t xml:space="preserve">mx </t>
        </is>
      </c>
      <c r="S903" t="inlineStr">
        <is>
          <t>Colección popular ; 27</t>
        </is>
      </c>
      <c r="T903" t="inlineStr">
        <is>
          <t xml:space="preserve">PQ </t>
        </is>
      </c>
      <c r="U903" t="n">
        <v>0</v>
      </c>
      <c r="V903" t="n">
        <v>0</v>
      </c>
      <c r="W903" t="inlineStr">
        <is>
          <t>2001-10-02</t>
        </is>
      </c>
      <c r="X903" t="inlineStr">
        <is>
          <t>2001-10-02</t>
        </is>
      </c>
      <c r="Y903" t="inlineStr">
        <is>
          <t>1998-08-06</t>
        </is>
      </c>
      <c r="Z903" t="inlineStr">
        <is>
          <t>1998-08-06</t>
        </is>
      </c>
      <c r="AA903" t="n">
        <v>29</v>
      </c>
      <c r="AB903" t="n">
        <v>27</v>
      </c>
      <c r="AC903" t="n">
        <v>281</v>
      </c>
      <c r="AD903" t="n">
        <v>1</v>
      </c>
      <c r="AE903" t="n">
        <v>2</v>
      </c>
      <c r="AF903" t="n">
        <v>0</v>
      </c>
      <c r="AG903" t="n">
        <v>7</v>
      </c>
      <c r="AH903" t="n">
        <v>0</v>
      </c>
      <c r="AI903" t="n">
        <v>1</v>
      </c>
      <c r="AJ903" t="n">
        <v>0</v>
      </c>
      <c r="AK903" t="n">
        <v>3</v>
      </c>
      <c r="AL903" t="n">
        <v>0</v>
      </c>
      <c r="AM903" t="n">
        <v>5</v>
      </c>
      <c r="AN903" t="n">
        <v>0</v>
      </c>
      <c r="AO903" t="n">
        <v>1</v>
      </c>
      <c r="AP903" t="n">
        <v>0</v>
      </c>
      <c r="AQ903" t="n">
        <v>0</v>
      </c>
      <c r="AR903" t="inlineStr">
        <is>
          <t>No</t>
        </is>
      </c>
      <c r="AS903" t="inlineStr">
        <is>
          <t>No</t>
        </is>
      </c>
      <c r="AU903">
        <f>HYPERLINK("https://creighton-primo.hosted.exlibrisgroup.com/primo-explore/search?tab=default_tab&amp;search_scope=EVERYTHING&amp;vid=01CRU&amp;lang=en_US&amp;offset=0&amp;query=any,contains,991002266759702656","Catalog Record")</f>
        <v/>
      </c>
      <c r="AV903">
        <f>HYPERLINK("http://www.worldcat.org/oclc/29393375","WorldCat Record")</f>
        <v/>
      </c>
      <c r="AW903" t="inlineStr">
        <is>
          <t>466897:spa</t>
        </is>
      </c>
      <c r="AX903" t="inlineStr">
        <is>
          <t>29393375</t>
        </is>
      </c>
      <c r="AY903" t="inlineStr">
        <is>
          <t>991002266759702656</t>
        </is>
      </c>
      <c r="AZ903" t="inlineStr">
        <is>
          <t>991002266759702656</t>
        </is>
      </c>
      <c r="BA903" t="inlineStr">
        <is>
          <t>2272420900002656</t>
        </is>
      </c>
      <c r="BB903" t="inlineStr">
        <is>
          <t>BOOK</t>
        </is>
      </c>
      <c r="BD903" t="inlineStr">
        <is>
          <t>9789681606350</t>
        </is>
      </c>
      <c r="BE903" t="inlineStr">
        <is>
          <t>32285003450102</t>
        </is>
      </c>
      <c r="BF903" t="inlineStr">
        <is>
          <t>893322735</t>
        </is>
      </c>
    </row>
    <row r="904">
      <c r="A904" t="inlineStr">
        <is>
          <t>No</t>
        </is>
      </c>
      <c r="B904" t="inlineStr">
        <is>
          <t>CURAL</t>
        </is>
      </c>
      <c r="C904" t="inlineStr">
        <is>
          <t>SHELVES</t>
        </is>
      </c>
      <c r="D904" t="inlineStr">
        <is>
          <t>PQ7298.13.A3841 D613 1991</t>
        </is>
      </c>
      <c r="E904" t="inlineStr">
        <is>
          <t>0                      PQ 7298130A  3841               D  613         1991</t>
        </is>
      </c>
      <c r="F904" t="inlineStr">
        <is>
          <t>The two mujeres / by Sara Levi Calderón ; translated by Gina Kaufer.</t>
        </is>
      </c>
      <c r="H904" t="inlineStr">
        <is>
          <t>No</t>
        </is>
      </c>
      <c r="I904" t="inlineStr">
        <is>
          <t>1</t>
        </is>
      </c>
      <c r="J904" t="inlineStr">
        <is>
          <t>No</t>
        </is>
      </c>
      <c r="K904" t="inlineStr">
        <is>
          <t>No</t>
        </is>
      </c>
      <c r="L904" t="inlineStr">
        <is>
          <t>0</t>
        </is>
      </c>
      <c r="M904" t="inlineStr">
        <is>
          <t>Calderón, Sara Levi, 1942-</t>
        </is>
      </c>
      <c r="N904" t="inlineStr">
        <is>
          <t>San Francisco : Aunt Lute Books, c1991.</t>
        </is>
      </c>
      <c r="O904" t="inlineStr">
        <is>
          <t>1991</t>
        </is>
      </c>
      <c r="P904" t="inlineStr">
        <is>
          <t>1st ed.</t>
        </is>
      </c>
      <c r="Q904" t="inlineStr">
        <is>
          <t>eng</t>
        </is>
      </c>
      <c r="R904" t="inlineStr">
        <is>
          <t>cau</t>
        </is>
      </c>
      <c r="T904" t="inlineStr">
        <is>
          <t xml:space="preserve">PQ </t>
        </is>
      </c>
      <c r="U904" t="n">
        <v>3</v>
      </c>
      <c r="V904" t="n">
        <v>3</v>
      </c>
      <c r="W904" t="inlineStr">
        <is>
          <t>1998-02-04</t>
        </is>
      </c>
      <c r="X904" t="inlineStr">
        <is>
          <t>1998-02-04</t>
        </is>
      </c>
      <c r="Y904" t="inlineStr">
        <is>
          <t>1996-06-12</t>
        </is>
      </c>
      <c r="Z904" t="inlineStr">
        <is>
          <t>1996-06-12</t>
        </is>
      </c>
      <c r="AA904" t="n">
        <v>204</v>
      </c>
      <c r="AB904" t="n">
        <v>192</v>
      </c>
      <c r="AC904" t="n">
        <v>210</v>
      </c>
      <c r="AD904" t="n">
        <v>1</v>
      </c>
      <c r="AE904" t="n">
        <v>1</v>
      </c>
      <c r="AF904" t="n">
        <v>5</v>
      </c>
      <c r="AG904" t="n">
        <v>7</v>
      </c>
      <c r="AH904" t="n">
        <v>1</v>
      </c>
      <c r="AI904" t="n">
        <v>2</v>
      </c>
      <c r="AJ904" t="n">
        <v>2</v>
      </c>
      <c r="AK904" t="n">
        <v>3</v>
      </c>
      <c r="AL904" t="n">
        <v>4</v>
      </c>
      <c r="AM904" t="n">
        <v>4</v>
      </c>
      <c r="AN904" t="n">
        <v>0</v>
      </c>
      <c r="AO904" t="n">
        <v>0</v>
      </c>
      <c r="AP904" t="n">
        <v>0</v>
      </c>
      <c r="AQ904" t="n">
        <v>0</v>
      </c>
      <c r="AR904" t="inlineStr">
        <is>
          <t>No</t>
        </is>
      </c>
      <c r="AS904" t="inlineStr">
        <is>
          <t>Yes</t>
        </is>
      </c>
      <c r="AT904">
        <f>HYPERLINK("http://catalog.hathitrust.org/Record/002702368","HathiTrust Record")</f>
        <v/>
      </c>
      <c r="AU904">
        <f>HYPERLINK("https://creighton-primo.hosted.exlibrisgroup.com/primo-explore/search?tab=default_tab&amp;search_scope=EVERYTHING&amp;vid=01CRU&amp;lang=en_US&amp;offset=0&amp;query=any,contains,991001895579702656","Catalog Record")</f>
        <v/>
      </c>
      <c r="AV904">
        <f>HYPERLINK("http://www.worldcat.org/oclc/23941176","WorldCat Record")</f>
        <v/>
      </c>
      <c r="AW904" t="inlineStr">
        <is>
          <t>25159883:eng</t>
        </is>
      </c>
      <c r="AX904" t="inlineStr">
        <is>
          <t>23941176</t>
        </is>
      </c>
      <c r="AY904" t="inlineStr">
        <is>
          <t>991001895579702656</t>
        </is>
      </c>
      <c r="AZ904" t="inlineStr">
        <is>
          <t>991001895579702656</t>
        </is>
      </c>
      <c r="BA904" t="inlineStr">
        <is>
          <t>2270023950002656</t>
        </is>
      </c>
      <c r="BB904" t="inlineStr">
        <is>
          <t>BOOK</t>
        </is>
      </c>
      <c r="BD904" t="inlineStr">
        <is>
          <t>9781879960008</t>
        </is>
      </c>
      <c r="BE904" t="inlineStr">
        <is>
          <t>32285002191764</t>
        </is>
      </c>
      <c r="BF904" t="inlineStr">
        <is>
          <t>893439517</t>
        </is>
      </c>
    </row>
    <row r="905">
      <c r="A905" t="inlineStr">
        <is>
          <t>No</t>
        </is>
      </c>
      <c r="B905" t="inlineStr">
        <is>
          <t>CURAL</t>
        </is>
      </c>
      <c r="C905" t="inlineStr">
        <is>
          <t>SHELVES</t>
        </is>
      </c>
      <c r="D905" t="inlineStr">
        <is>
          <t>PQ7298.13.A398 M84 1965</t>
        </is>
      </c>
      <c r="E905" t="inlineStr">
        <is>
          <t>0                      PQ 7298130A  398                M  84          1965</t>
        </is>
      </c>
      <c r="F905" t="inlineStr">
        <is>
          <t>Muerte por agua; [novela] / Julieta Campos.</t>
        </is>
      </c>
      <c r="H905" t="inlineStr">
        <is>
          <t>No</t>
        </is>
      </c>
      <c r="I905" t="inlineStr">
        <is>
          <t>1</t>
        </is>
      </c>
      <c r="J905" t="inlineStr">
        <is>
          <t>No</t>
        </is>
      </c>
      <c r="K905" t="inlineStr">
        <is>
          <t>No</t>
        </is>
      </c>
      <c r="L905" t="inlineStr">
        <is>
          <t>0</t>
        </is>
      </c>
      <c r="M905" t="inlineStr">
        <is>
          <t>Campos, Julieta.</t>
        </is>
      </c>
      <c r="N905" t="inlineStr">
        <is>
          <t>México : Fondo de Cultura Económica, c1965</t>
        </is>
      </c>
      <c r="O905" t="inlineStr">
        <is>
          <t>1965</t>
        </is>
      </c>
      <c r="P905" t="inlineStr">
        <is>
          <t>1. ed., 3a imp.</t>
        </is>
      </c>
      <c r="Q905" t="inlineStr">
        <is>
          <t>spa</t>
        </is>
      </c>
      <c r="R905" t="inlineStr">
        <is>
          <t xml:space="preserve">mx </t>
        </is>
      </c>
      <c r="S905" t="inlineStr">
        <is>
          <t>Colección popular (Fondo de Cultura Económica (Mexico)) ; 74</t>
        </is>
      </c>
      <c r="T905" t="inlineStr">
        <is>
          <t xml:space="preserve">PQ </t>
        </is>
      </c>
      <c r="U905" t="n">
        <v>2</v>
      </c>
      <c r="V905" t="n">
        <v>2</v>
      </c>
      <c r="W905" t="inlineStr">
        <is>
          <t>2001-05-16</t>
        </is>
      </c>
      <c r="X905" t="inlineStr">
        <is>
          <t>2001-05-16</t>
        </is>
      </c>
      <c r="Y905" t="inlineStr">
        <is>
          <t>2001-04-11</t>
        </is>
      </c>
      <c r="Z905" t="inlineStr">
        <is>
          <t>2001-04-11</t>
        </is>
      </c>
      <c r="AA905" t="n">
        <v>25</v>
      </c>
      <c r="AB905" t="n">
        <v>22</v>
      </c>
      <c r="AC905" t="n">
        <v>200</v>
      </c>
      <c r="AD905" t="n">
        <v>1</v>
      </c>
      <c r="AE905" t="n">
        <v>2</v>
      </c>
      <c r="AF905" t="n">
        <v>2</v>
      </c>
      <c r="AG905" t="n">
        <v>9</v>
      </c>
      <c r="AH905" t="n">
        <v>1</v>
      </c>
      <c r="AI905" t="n">
        <v>2</v>
      </c>
      <c r="AJ905" t="n">
        <v>0</v>
      </c>
      <c r="AK905" t="n">
        <v>5</v>
      </c>
      <c r="AL905" t="n">
        <v>1</v>
      </c>
      <c r="AM905" t="n">
        <v>4</v>
      </c>
      <c r="AN905" t="n">
        <v>0</v>
      </c>
      <c r="AO905" t="n">
        <v>1</v>
      </c>
      <c r="AP905" t="n">
        <v>0</v>
      </c>
      <c r="AQ905" t="n">
        <v>0</v>
      </c>
      <c r="AR905" t="inlineStr">
        <is>
          <t>No</t>
        </is>
      </c>
      <c r="AS905" t="inlineStr">
        <is>
          <t>No</t>
        </is>
      </c>
      <c r="AU905">
        <f>HYPERLINK("https://creighton-primo.hosted.exlibrisgroup.com/primo-explore/search?tab=default_tab&amp;search_scope=EVERYTHING&amp;vid=01CRU&amp;lang=en_US&amp;offset=0&amp;query=any,contains,991003481709702656","Catalog Record")</f>
        <v/>
      </c>
      <c r="AV905">
        <f>HYPERLINK("http://www.worldcat.org/oclc/34341213","WorldCat Record")</f>
        <v/>
      </c>
      <c r="AW905" t="inlineStr">
        <is>
          <t>316083188:spa</t>
        </is>
      </c>
      <c r="AX905" t="inlineStr">
        <is>
          <t>34341213</t>
        </is>
      </c>
      <c r="AY905" t="inlineStr">
        <is>
          <t>991003481709702656</t>
        </is>
      </c>
      <c r="AZ905" t="inlineStr">
        <is>
          <t>991003481709702656</t>
        </is>
      </c>
      <c r="BA905" t="inlineStr">
        <is>
          <t>2268046070002656</t>
        </is>
      </c>
      <c r="BB905" t="inlineStr">
        <is>
          <t>BOOK</t>
        </is>
      </c>
      <c r="BD905" t="inlineStr">
        <is>
          <t>9789681644703</t>
        </is>
      </c>
      <c r="BE905" t="inlineStr">
        <is>
          <t>32285004311949</t>
        </is>
      </c>
      <c r="BF905" t="inlineStr">
        <is>
          <t>893511987</t>
        </is>
      </c>
    </row>
    <row r="906">
      <c r="A906" t="inlineStr">
        <is>
          <t>No</t>
        </is>
      </c>
      <c r="B906" t="inlineStr">
        <is>
          <t>CURAL</t>
        </is>
      </c>
      <c r="C906" t="inlineStr">
        <is>
          <t>SHELVES</t>
        </is>
      </c>
      <c r="D906" t="inlineStr">
        <is>
          <t>PQ7298.13.A63 M4 1986</t>
        </is>
      </c>
      <c r="E906" t="inlineStr">
        <is>
          <t>0                      PQ 7298130A  63                 M  4           1986</t>
        </is>
      </c>
      <c r="F906" t="inlineStr">
        <is>
          <t>Medina del Mar Caribe : seminovela / Eduardo Capó Bonnafous.</t>
        </is>
      </c>
      <c r="H906" t="inlineStr">
        <is>
          <t>No</t>
        </is>
      </c>
      <c r="I906" t="inlineStr">
        <is>
          <t>1</t>
        </is>
      </c>
      <c r="J906" t="inlineStr">
        <is>
          <t>No</t>
        </is>
      </c>
      <c r="K906" t="inlineStr">
        <is>
          <t>No</t>
        </is>
      </c>
      <c r="L906" t="inlineStr">
        <is>
          <t>0</t>
        </is>
      </c>
      <c r="M906" t="inlineStr">
        <is>
          <t>Capó Bonnafous, Eduardo.</t>
        </is>
      </c>
      <c r="N906" t="inlineStr">
        <is>
          <t>Santo Domingo : Sociedad Dominicana de Bibliófilos, 1986.</t>
        </is>
      </c>
      <c r="O906" t="inlineStr">
        <is>
          <t>1986</t>
        </is>
      </c>
      <c r="P906" t="inlineStr">
        <is>
          <t>2a ed.</t>
        </is>
      </c>
      <c r="Q906" t="inlineStr">
        <is>
          <t>spa</t>
        </is>
      </c>
      <c r="R906" t="inlineStr">
        <is>
          <t xml:space="preserve">dr </t>
        </is>
      </c>
      <c r="S906" t="inlineStr">
        <is>
          <t>Colección de cultura dominicana ; 59</t>
        </is>
      </c>
      <c r="T906" t="inlineStr">
        <is>
          <t xml:space="preserve">PQ </t>
        </is>
      </c>
      <c r="U906" t="n">
        <v>1</v>
      </c>
      <c r="V906" t="n">
        <v>1</v>
      </c>
      <c r="W906" t="inlineStr">
        <is>
          <t>2001-06-11</t>
        </is>
      </c>
      <c r="X906" t="inlineStr">
        <is>
          <t>2001-06-11</t>
        </is>
      </c>
      <c r="Y906" t="inlineStr">
        <is>
          <t>2001-06-11</t>
        </is>
      </c>
      <c r="Z906" t="inlineStr">
        <is>
          <t>2001-06-11</t>
        </is>
      </c>
      <c r="AA906" t="n">
        <v>12</v>
      </c>
      <c r="AB906" t="n">
        <v>11</v>
      </c>
      <c r="AC906" t="n">
        <v>39</v>
      </c>
      <c r="AD906" t="n">
        <v>1</v>
      </c>
      <c r="AE906" t="n">
        <v>2</v>
      </c>
      <c r="AF906" t="n">
        <v>0</v>
      </c>
      <c r="AG906" t="n">
        <v>2</v>
      </c>
      <c r="AH906" t="n">
        <v>0</v>
      </c>
      <c r="AI906" t="n">
        <v>0</v>
      </c>
      <c r="AJ906" t="n">
        <v>0</v>
      </c>
      <c r="AK906" t="n">
        <v>1</v>
      </c>
      <c r="AL906" t="n">
        <v>0</v>
      </c>
      <c r="AM906" t="n">
        <v>1</v>
      </c>
      <c r="AN906" t="n">
        <v>0</v>
      </c>
      <c r="AO906" t="n">
        <v>1</v>
      </c>
      <c r="AP906" t="n">
        <v>0</v>
      </c>
      <c r="AQ906" t="n">
        <v>0</v>
      </c>
      <c r="AR906" t="inlineStr">
        <is>
          <t>No</t>
        </is>
      </c>
      <c r="AS906" t="inlineStr">
        <is>
          <t>No</t>
        </is>
      </c>
      <c r="AU906">
        <f>HYPERLINK("https://creighton-primo.hosted.exlibrisgroup.com/primo-explore/search?tab=default_tab&amp;search_scope=EVERYTHING&amp;vid=01CRU&amp;lang=en_US&amp;offset=0&amp;query=any,contains,991003556689702656","Catalog Record")</f>
        <v/>
      </c>
      <c r="AV906">
        <f>HYPERLINK("http://www.worldcat.org/oclc/19834232","WorldCat Record")</f>
        <v/>
      </c>
      <c r="AW906" t="inlineStr">
        <is>
          <t>21703353:spa</t>
        </is>
      </c>
      <c r="AX906" t="inlineStr">
        <is>
          <t>19834232</t>
        </is>
      </c>
      <c r="AY906" t="inlineStr">
        <is>
          <t>991003556689702656</t>
        </is>
      </c>
      <c r="AZ906" t="inlineStr">
        <is>
          <t>991003556689702656</t>
        </is>
      </c>
      <c r="BA906" t="inlineStr">
        <is>
          <t>2261861570002656</t>
        </is>
      </c>
      <c r="BB906" t="inlineStr">
        <is>
          <t>BOOK</t>
        </is>
      </c>
      <c r="BE906" t="inlineStr">
        <is>
          <t>32285004326459</t>
        </is>
      </c>
      <c r="BF906" t="inlineStr">
        <is>
          <t>893692839</t>
        </is>
      </c>
    </row>
    <row r="907">
      <c r="A907" t="inlineStr">
        <is>
          <t>No</t>
        </is>
      </c>
      <c r="B907" t="inlineStr">
        <is>
          <t>CURAL</t>
        </is>
      </c>
      <c r="C907" t="inlineStr">
        <is>
          <t>SHELVES</t>
        </is>
      </c>
      <c r="D907" t="inlineStr">
        <is>
          <t>PQ7298.15 .C6 1968</t>
        </is>
      </c>
      <c r="E907" t="inlineStr">
        <is>
          <t>0                      PQ 7298150C  6           1968</t>
        </is>
      </c>
      <c r="F907" t="inlineStr">
        <is>
          <t>Contra el campo del rey : poemas / Lubio Cardozo.</t>
        </is>
      </c>
      <c r="H907" t="inlineStr">
        <is>
          <t>No</t>
        </is>
      </c>
      <c r="I907" t="inlineStr">
        <is>
          <t>1</t>
        </is>
      </c>
      <c r="J907" t="inlineStr">
        <is>
          <t>No</t>
        </is>
      </c>
      <c r="K907" t="inlineStr">
        <is>
          <t>No</t>
        </is>
      </c>
      <c r="L907" t="inlineStr">
        <is>
          <t>0</t>
        </is>
      </c>
      <c r="M907" t="inlineStr">
        <is>
          <t>Cardozo, Lubio.</t>
        </is>
      </c>
      <c r="N907" t="inlineStr">
        <is>
          <t>Merida : Euroamerica Impresores, 1968.</t>
        </is>
      </c>
      <c r="O907" t="inlineStr">
        <is>
          <t>1968</t>
        </is>
      </c>
      <c r="Q907" t="inlineStr">
        <is>
          <t>spa</t>
        </is>
      </c>
      <c r="R907" t="inlineStr">
        <is>
          <t xml:space="preserve">mx </t>
        </is>
      </c>
      <c r="T907" t="inlineStr">
        <is>
          <t xml:space="preserve">PQ </t>
        </is>
      </c>
      <c r="U907" t="n">
        <v>1</v>
      </c>
      <c r="V907" t="n">
        <v>1</v>
      </c>
      <c r="W907" t="inlineStr">
        <is>
          <t>2002-07-29</t>
        </is>
      </c>
      <c r="X907" t="inlineStr">
        <is>
          <t>2002-07-29</t>
        </is>
      </c>
      <c r="Y907" t="inlineStr">
        <is>
          <t>2002-07-29</t>
        </is>
      </c>
      <c r="Z907" t="inlineStr">
        <is>
          <t>2002-07-29</t>
        </is>
      </c>
      <c r="AA907" t="n">
        <v>13</v>
      </c>
      <c r="AB907" t="n">
        <v>10</v>
      </c>
      <c r="AC907" t="n">
        <v>12</v>
      </c>
      <c r="AD907" t="n">
        <v>1</v>
      </c>
      <c r="AE907" t="n">
        <v>1</v>
      </c>
      <c r="AF907" t="n">
        <v>0</v>
      </c>
      <c r="AG907" t="n">
        <v>0</v>
      </c>
      <c r="AH907" t="n">
        <v>0</v>
      </c>
      <c r="AI907" t="n">
        <v>0</v>
      </c>
      <c r="AJ907" t="n">
        <v>0</v>
      </c>
      <c r="AK907" t="n">
        <v>0</v>
      </c>
      <c r="AL907" t="n">
        <v>0</v>
      </c>
      <c r="AM907" t="n">
        <v>0</v>
      </c>
      <c r="AN907" t="n">
        <v>0</v>
      </c>
      <c r="AO907" t="n">
        <v>0</v>
      </c>
      <c r="AP907" t="n">
        <v>0</v>
      </c>
      <c r="AQ907" t="n">
        <v>0</v>
      </c>
      <c r="AR907" t="inlineStr">
        <is>
          <t>No</t>
        </is>
      </c>
      <c r="AS907" t="inlineStr">
        <is>
          <t>Yes</t>
        </is>
      </c>
      <c r="AT907">
        <f>HYPERLINK("http://catalog.hathitrust.org/Record/007359346","HathiTrust Record")</f>
        <v/>
      </c>
      <c r="AU907">
        <f>HYPERLINK("https://creighton-primo.hosted.exlibrisgroup.com/primo-explore/search?tab=default_tab&amp;search_scope=EVERYTHING&amp;vid=01CRU&amp;lang=en_US&amp;offset=0&amp;query=any,contains,991003847149702656","Catalog Record")</f>
        <v/>
      </c>
      <c r="AV907">
        <f>HYPERLINK("http://www.worldcat.org/oclc/17307391","WorldCat Record")</f>
        <v/>
      </c>
      <c r="AW907" t="inlineStr">
        <is>
          <t>196209935:spa</t>
        </is>
      </c>
      <c r="AX907" t="inlineStr">
        <is>
          <t>17307391</t>
        </is>
      </c>
      <c r="AY907" t="inlineStr">
        <is>
          <t>991003847149702656</t>
        </is>
      </c>
      <c r="AZ907" t="inlineStr">
        <is>
          <t>991003847149702656</t>
        </is>
      </c>
      <c r="BA907" t="inlineStr">
        <is>
          <t>2266267160002656</t>
        </is>
      </c>
      <c r="BB907" t="inlineStr">
        <is>
          <t>BOOK</t>
        </is>
      </c>
      <c r="BE907" t="inlineStr">
        <is>
          <t>32285004640123</t>
        </is>
      </c>
      <c r="BF907" t="inlineStr">
        <is>
          <t>893623979</t>
        </is>
      </c>
    </row>
    <row r="908">
      <c r="A908" t="inlineStr">
        <is>
          <t>No</t>
        </is>
      </c>
      <c r="B908" t="inlineStr">
        <is>
          <t>CURAL</t>
        </is>
      </c>
      <c r="C908" t="inlineStr">
        <is>
          <t>SHELVES</t>
        </is>
      </c>
      <c r="D908" t="inlineStr">
        <is>
          <t>PQ7298.15.S638 E77 1999</t>
        </is>
      </c>
      <c r="E908" t="inlineStr">
        <is>
          <t>0                      PQ 7298150S  638                E  77          1999</t>
        </is>
      </c>
      <c r="F908" t="inlineStr">
        <is>
          <t>Estrellita marinera : una fábula de nuestro tiempo / Laura Esquivel ; ilustraciones de Francisco Meléndez.</t>
        </is>
      </c>
      <c r="H908" t="inlineStr">
        <is>
          <t>No</t>
        </is>
      </c>
      <c r="I908" t="inlineStr">
        <is>
          <t>1</t>
        </is>
      </c>
      <c r="J908" t="inlineStr">
        <is>
          <t>No</t>
        </is>
      </c>
      <c r="K908" t="inlineStr">
        <is>
          <t>No</t>
        </is>
      </c>
      <c r="L908" t="inlineStr">
        <is>
          <t>0</t>
        </is>
      </c>
      <c r="M908" t="inlineStr">
        <is>
          <t>Esquivel, Laura, 1950-</t>
        </is>
      </c>
      <c r="N908" t="inlineStr">
        <is>
          <t>Madrid : Ollero y Ramos, 1999.</t>
        </is>
      </c>
      <c r="O908" t="inlineStr">
        <is>
          <t>1999</t>
        </is>
      </c>
      <c r="Q908" t="inlineStr">
        <is>
          <t>spa</t>
        </is>
      </c>
      <c r="R908" t="inlineStr">
        <is>
          <t xml:space="preserve">sp </t>
        </is>
      </c>
      <c r="T908" t="inlineStr">
        <is>
          <t xml:space="preserve">PQ </t>
        </is>
      </c>
      <c r="U908" t="n">
        <v>1</v>
      </c>
      <c r="V908" t="n">
        <v>1</v>
      </c>
      <c r="W908" t="inlineStr">
        <is>
          <t>2000-09-20</t>
        </is>
      </c>
      <c r="X908" t="inlineStr">
        <is>
          <t>2000-09-20</t>
        </is>
      </c>
      <c r="Y908" t="inlineStr">
        <is>
          <t>2000-09-20</t>
        </is>
      </c>
      <c r="Z908" t="inlineStr">
        <is>
          <t>2000-09-20</t>
        </is>
      </c>
      <c r="AA908" t="n">
        <v>75</v>
      </c>
      <c r="AB908" t="n">
        <v>62</v>
      </c>
      <c r="AC908" t="n">
        <v>107</v>
      </c>
      <c r="AD908" t="n">
        <v>1</v>
      </c>
      <c r="AE908" t="n">
        <v>1</v>
      </c>
      <c r="AF908" t="n">
        <v>0</v>
      </c>
      <c r="AG908" t="n">
        <v>1</v>
      </c>
      <c r="AH908" t="n">
        <v>0</v>
      </c>
      <c r="AI908" t="n">
        <v>0</v>
      </c>
      <c r="AJ908" t="n">
        <v>0</v>
      </c>
      <c r="AK908" t="n">
        <v>1</v>
      </c>
      <c r="AL908" t="n">
        <v>0</v>
      </c>
      <c r="AM908" t="n">
        <v>1</v>
      </c>
      <c r="AN908" t="n">
        <v>0</v>
      </c>
      <c r="AO908" t="n">
        <v>0</v>
      </c>
      <c r="AP908" t="n">
        <v>0</v>
      </c>
      <c r="AQ908" t="n">
        <v>0</v>
      </c>
      <c r="AR908" t="inlineStr">
        <is>
          <t>No</t>
        </is>
      </c>
      <c r="AS908" t="inlineStr">
        <is>
          <t>No</t>
        </is>
      </c>
      <c r="AU908">
        <f>HYPERLINK("https://creighton-primo.hosted.exlibrisgroup.com/primo-explore/search?tab=default_tab&amp;search_scope=EVERYTHING&amp;vid=01CRU&amp;lang=en_US&amp;offset=0&amp;query=any,contains,991003253919702656","Catalog Record")</f>
        <v/>
      </c>
      <c r="AV908">
        <f>HYPERLINK("http://www.worldcat.org/oclc/42862853","WorldCat Record")</f>
        <v/>
      </c>
      <c r="AW908" t="inlineStr">
        <is>
          <t>56384340:spa</t>
        </is>
      </c>
      <c r="AX908" t="inlineStr">
        <is>
          <t>42862853</t>
        </is>
      </c>
      <c r="AY908" t="inlineStr">
        <is>
          <t>991003253919702656</t>
        </is>
      </c>
      <c r="AZ908" t="inlineStr">
        <is>
          <t>991003253919702656</t>
        </is>
      </c>
      <c r="BA908" t="inlineStr">
        <is>
          <t>2263996650002656</t>
        </is>
      </c>
      <c r="BB908" t="inlineStr">
        <is>
          <t>BOOK</t>
        </is>
      </c>
      <c r="BD908" t="inlineStr">
        <is>
          <t>9788478951369</t>
        </is>
      </c>
      <c r="BE908" t="inlineStr">
        <is>
          <t>32285003763603</t>
        </is>
      </c>
      <c r="BF908" t="inlineStr">
        <is>
          <t>893799527</t>
        </is>
      </c>
    </row>
    <row r="909">
      <c r="A909" t="inlineStr">
        <is>
          <t>No</t>
        </is>
      </c>
      <c r="B909" t="inlineStr">
        <is>
          <t>CURAL</t>
        </is>
      </c>
      <c r="C909" t="inlineStr">
        <is>
          <t>SHELVES</t>
        </is>
      </c>
      <c r="D909" t="inlineStr">
        <is>
          <t>PQ7298.15.S638 T3613 2001</t>
        </is>
      </c>
      <c r="E909" t="inlineStr">
        <is>
          <t>0                      PQ 7298150S  638                T  3613        2001</t>
        </is>
      </c>
      <c r="F909" t="inlineStr">
        <is>
          <t>Tan veloz como el deseo / Laura Esquivel.</t>
        </is>
      </c>
      <c r="H909" t="inlineStr">
        <is>
          <t>No</t>
        </is>
      </c>
      <c r="I909" t="inlineStr">
        <is>
          <t>1</t>
        </is>
      </c>
      <c r="J909" t="inlineStr">
        <is>
          <t>No</t>
        </is>
      </c>
      <c r="K909" t="inlineStr">
        <is>
          <t>No</t>
        </is>
      </c>
      <c r="L909" t="inlineStr">
        <is>
          <t>0</t>
        </is>
      </c>
      <c r="M909" t="inlineStr">
        <is>
          <t>Esquivel, Laura, 1950-</t>
        </is>
      </c>
      <c r="N909" t="inlineStr">
        <is>
          <t>New York : Anchor Books, c2001.</t>
        </is>
      </c>
      <c r="O909" t="inlineStr">
        <is>
          <t>2001</t>
        </is>
      </c>
      <c r="Q909" t="inlineStr">
        <is>
          <t>spa</t>
        </is>
      </c>
      <c r="R909" t="inlineStr">
        <is>
          <t>nyu</t>
        </is>
      </c>
      <c r="T909" t="inlineStr">
        <is>
          <t xml:space="preserve">PQ </t>
        </is>
      </c>
      <c r="U909" t="n">
        <v>1</v>
      </c>
      <c r="V909" t="n">
        <v>1</v>
      </c>
      <c r="W909" t="inlineStr">
        <is>
          <t>2001-11-01</t>
        </is>
      </c>
      <c r="X909" t="inlineStr">
        <is>
          <t>2001-11-01</t>
        </is>
      </c>
      <c r="Y909" t="inlineStr">
        <is>
          <t>2001-10-31</t>
        </is>
      </c>
      <c r="Z909" t="inlineStr">
        <is>
          <t>2001-10-31</t>
        </is>
      </c>
      <c r="AA909" t="n">
        <v>640</v>
      </c>
      <c r="AB909" t="n">
        <v>615</v>
      </c>
      <c r="AC909" t="n">
        <v>737</v>
      </c>
      <c r="AD909" t="n">
        <v>4</v>
      </c>
      <c r="AE909" t="n">
        <v>5</v>
      </c>
      <c r="AF909" t="n">
        <v>10</v>
      </c>
      <c r="AG909" t="n">
        <v>13</v>
      </c>
      <c r="AH909" t="n">
        <v>5</v>
      </c>
      <c r="AI909" t="n">
        <v>6</v>
      </c>
      <c r="AJ909" t="n">
        <v>1</v>
      </c>
      <c r="AK909" t="n">
        <v>2</v>
      </c>
      <c r="AL909" t="n">
        <v>7</v>
      </c>
      <c r="AM909" t="n">
        <v>10</v>
      </c>
      <c r="AN909" t="n">
        <v>1</v>
      </c>
      <c r="AO909" t="n">
        <v>1</v>
      </c>
      <c r="AP909" t="n">
        <v>0</v>
      </c>
      <c r="AQ909" t="n">
        <v>0</v>
      </c>
      <c r="AR909" t="inlineStr">
        <is>
          <t>No</t>
        </is>
      </c>
      <c r="AS909" t="inlineStr">
        <is>
          <t>No</t>
        </is>
      </c>
      <c r="AU909">
        <f>HYPERLINK("https://creighton-primo.hosted.exlibrisgroup.com/primo-explore/search?tab=default_tab&amp;search_scope=EVERYTHING&amp;vid=01CRU&amp;lang=en_US&amp;offset=0&amp;query=any,contains,991003642239702656","Catalog Record")</f>
        <v/>
      </c>
      <c r="AV909">
        <f>HYPERLINK("http://www.worldcat.org/oclc/47958888","WorldCat Record")</f>
        <v/>
      </c>
      <c r="AW909" t="inlineStr">
        <is>
          <t>837231:spa</t>
        </is>
      </c>
      <c r="AX909" t="inlineStr">
        <is>
          <t>47958888</t>
        </is>
      </c>
      <c r="AY909" t="inlineStr">
        <is>
          <t>991003642239702656</t>
        </is>
      </c>
      <c r="AZ909" t="inlineStr">
        <is>
          <t>991003642239702656</t>
        </is>
      </c>
      <c r="BA909" t="inlineStr">
        <is>
          <t>2257990070002656</t>
        </is>
      </c>
      <c r="BB909" t="inlineStr">
        <is>
          <t>BOOK</t>
        </is>
      </c>
      <c r="BD909" t="inlineStr">
        <is>
          <t>9780385721639</t>
        </is>
      </c>
      <c r="BE909" t="inlineStr">
        <is>
          <t>32285004417043</t>
        </is>
      </c>
      <c r="BF909" t="inlineStr">
        <is>
          <t>893705455</t>
        </is>
      </c>
    </row>
    <row r="910">
      <c r="A910" t="inlineStr">
        <is>
          <t>No</t>
        </is>
      </c>
      <c r="B910" t="inlineStr">
        <is>
          <t>CURAL</t>
        </is>
      </c>
      <c r="C910" t="inlineStr">
        <is>
          <t>SHELVES</t>
        </is>
      </c>
      <c r="D910" t="inlineStr">
        <is>
          <t>PQ7298.17.A7 A6 1997</t>
        </is>
      </c>
      <c r="E910" t="inlineStr">
        <is>
          <t>0                      PQ 7298170A  7                  A  6           1997</t>
        </is>
      </c>
      <c r="F910" t="inlineStr">
        <is>
          <t>Novelas breves / García Ponce.</t>
        </is>
      </c>
      <c r="H910" t="inlineStr">
        <is>
          <t>No</t>
        </is>
      </c>
      <c r="I910" t="inlineStr">
        <is>
          <t>1</t>
        </is>
      </c>
      <c r="J910" t="inlineStr">
        <is>
          <t>No</t>
        </is>
      </c>
      <c r="K910" t="inlineStr">
        <is>
          <t>No</t>
        </is>
      </c>
      <c r="L910" t="inlineStr">
        <is>
          <t>0</t>
        </is>
      </c>
      <c r="M910" t="inlineStr">
        <is>
          <t>García Ponce, Juan.</t>
        </is>
      </c>
      <c r="N910" t="inlineStr">
        <is>
          <t>México, D.F. : Aguilar, Altea, Taurus, Alfaguara, c1997.</t>
        </is>
      </c>
      <c r="O910" t="inlineStr">
        <is>
          <t>1997</t>
        </is>
      </c>
      <c r="P910" t="inlineStr">
        <is>
          <t>1. ed.</t>
        </is>
      </c>
      <c r="Q910" t="inlineStr">
        <is>
          <t>spa</t>
        </is>
      </c>
      <c r="R910" t="inlineStr">
        <is>
          <t xml:space="preserve">mx </t>
        </is>
      </c>
      <c r="T910" t="inlineStr">
        <is>
          <t xml:space="preserve">PQ </t>
        </is>
      </c>
      <c r="U910" t="n">
        <v>1</v>
      </c>
      <c r="V910" t="n">
        <v>1</v>
      </c>
      <c r="W910" t="inlineStr">
        <is>
          <t>2002-05-17</t>
        </is>
      </c>
      <c r="X910" t="inlineStr">
        <is>
          <t>2002-05-17</t>
        </is>
      </c>
      <c r="Y910" t="inlineStr">
        <is>
          <t>2002-05-13</t>
        </is>
      </c>
      <c r="Z910" t="inlineStr">
        <is>
          <t>2002-05-13</t>
        </is>
      </c>
      <c r="AA910" t="n">
        <v>110</v>
      </c>
      <c r="AB910" t="n">
        <v>96</v>
      </c>
      <c r="AC910" t="n">
        <v>99</v>
      </c>
      <c r="AD910" t="n">
        <v>1</v>
      </c>
      <c r="AE910" t="n">
        <v>1</v>
      </c>
      <c r="AF910" t="n">
        <v>1</v>
      </c>
      <c r="AG910" t="n">
        <v>1</v>
      </c>
      <c r="AH910" t="n">
        <v>0</v>
      </c>
      <c r="AI910" t="n">
        <v>0</v>
      </c>
      <c r="AJ910" t="n">
        <v>0</v>
      </c>
      <c r="AK910" t="n">
        <v>0</v>
      </c>
      <c r="AL910" t="n">
        <v>1</v>
      </c>
      <c r="AM910" t="n">
        <v>1</v>
      </c>
      <c r="AN910" t="n">
        <v>0</v>
      </c>
      <c r="AO910" t="n">
        <v>0</v>
      </c>
      <c r="AP910" t="n">
        <v>0</v>
      </c>
      <c r="AQ910" t="n">
        <v>0</v>
      </c>
      <c r="AR910" t="inlineStr">
        <is>
          <t>No</t>
        </is>
      </c>
      <c r="AS910" t="inlineStr">
        <is>
          <t>Yes</t>
        </is>
      </c>
      <c r="AT910">
        <f>HYPERLINK("http://catalog.hathitrust.org/Record/004017988","HathiTrust Record")</f>
        <v/>
      </c>
      <c r="AU910">
        <f>HYPERLINK("https://creighton-primo.hosted.exlibrisgroup.com/primo-explore/search?tab=default_tab&amp;search_scope=EVERYTHING&amp;vid=01CRU&amp;lang=en_US&amp;offset=0&amp;query=any,contains,991003805819702656","Catalog Record")</f>
        <v/>
      </c>
      <c r="AV910">
        <f>HYPERLINK("http://www.worldcat.org/oclc/37547079","WorldCat Record")</f>
        <v/>
      </c>
      <c r="AW910" t="inlineStr">
        <is>
          <t>229354862:spa</t>
        </is>
      </c>
      <c r="AX910" t="inlineStr">
        <is>
          <t>37547079</t>
        </is>
      </c>
      <c r="AY910" t="inlineStr">
        <is>
          <t>991003805819702656</t>
        </is>
      </c>
      <c r="AZ910" t="inlineStr">
        <is>
          <t>991003805819702656</t>
        </is>
      </c>
      <c r="BA910" t="inlineStr">
        <is>
          <t>2264112350002656</t>
        </is>
      </c>
      <c r="BB910" t="inlineStr">
        <is>
          <t>BOOK</t>
        </is>
      </c>
      <c r="BD910" t="inlineStr">
        <is>
          <t>9789681903411</t>
        </is>
      </c>
      <c r="BE910" t="inlineStr">
        <is>
          <t>32285004487640</t>
        </is>
      </c>
      <c r="BF910" t="inlineStr">
        <is>
          <t>893499740</t>
        </is>
      </c>
    </row>
    <row r="911">
      <c r="A911" t="inlineStr">
        <is>
          <t>No</t>
        </is>
      </c>
      <c r="B911" t="inlineStr">
        <is>
          <t>CURAL</t>
        </is>
      </c>
      <c r="C911" t="inlineStr">
        <is>
          <t>SHELVES</t>
        </is>
      </c>
      <c r="D911" t="inlineStr">
        <is>
          <t>PQ7298.17.U66 Q8 1997</t>
        </is>
      </c>
      <c r="E911" t="inlineStr">
        <is>
          <t>0                      PQ 7298170U  66                 Q  8           1997</t>
        </is>
      </c>
      <c r="F911" t="inlineStr">
        <is>
          <t>Quizás no entendí : [novela] / Gerardo Guiza Lemus.</t>
        </is>
      </c>
      <c r="H911" t="inlineStr">
        <is>
          <t>No</t>
        </is>
      </c>
      <c r="I911" t="inlineStr">
        <is>
          <t>1</t>
        </is>
      </c>
      <c r="J911" t="inlineStr">
        <is>
          <t>No</t>
        </is>
      </c>
      <c r="K911" t="inlineStr">
        <is>
          <t>No</t>
        </is>
      </c>
      <c r="L911" t="inlineStr">
        <is>
          <t>0</t>
        </is>
      </c>
      <c r="M911" t="inlineStr">
        <is>
          <t>Guiza Lemus, Gerardo, 1957-</t>
        </is>
      </c>
      <c r="N911" t="inlineStr">
        <is>
          <t>México, D.F. : Distribuciones Fontamara, 1997.</t>
        </is>
      </c>
      <c r="O911" t="inlineStr">
        <is>
          <t>1997</t>
        </is>
      </c>
      <c r="P911" t="inlineStr">
        <is>
          <t>1. ed.</t>
        </is>
      </c>
      <c r="Q911" t="inlineStr">
        <is>
          <t>spa</t>
        </is>
      </c>
      <c r="R911" t="inlineStr">
        <is>
          <t xml:space="preserve">mx </t>
        </is>
      </c>
      <c r="S911" t="inlineStr">
        <is>
          <t>Fontamara, Colección ; 209</t>
        </is>
      </c>
      <c r="T911" t="inlineStr">
        <is>
          <t xml:space="preserve">PQ </t>
        </is>
      </c>
      <c r="U911" t="n">
        <v>2</v>
      </c>
      <c r="V911" t="n">
        <v>2</v>
      </c>
      <c r="W911" t="inlineStr">
        <is>
          <t>2000-09-30</t>
        </is>
      </c>
      <c r="X911" t="inlineStr">
        <is>
          <t>2000-09-30</t>
        </is>
      </c>
      <c r="Y911" t="inlineStr">
        <is>
          <t>2000-09-20</t>
        </is>
      </c>
      <c r="Z911" t="inlineStr">
        <is>
          <t>2000-09-20</t>
        </is>
      </c>
      <c r="AA911" t="n">
        <v>16</v>
      </c>
      <c r="AB911" t="n">
        <v>15</v>
      </c>
      <c r="AC911" t="n">
        <v>16</v>
      </c>
      <c r="AD911" t="n">
        <v>1</v>
      </c>
      <c r="AE911" t="n">
        <v>1</v>
      </c>
      <c r="AF911" t="n">
        <v>0</v>
      </c>
      <c r="AG911" t="n">
        <v>0</v>
      </c>
      <c r="AH911" t="n">
        <v>0</v>
      </c>
      <c r="AI911" t="n">
        <v>0</v>
      </c>
      <c r="AJ911" t="n">
        <v>0</v>
      </c>
      <c r="AK911" t="n">
        <v>0</v>
      </c>
      <c r="AL911" t="n">
        <v>0</v>
      </c>
      <c r="AM911" t="n">
        <v>0</v>
      </c>
      <c r="AN911" t="n">
        <v>0</v>
      </c>
      <c r="AO911" t="n">
        <v>0</v>
      </c>
      <c r="AP911" t="n">
        <v>0</v>
      </c>
      <c r="AQ911" t="n">
        <v>0</v>
      </c>
      <c r="AR911" t="inlineStr">
        <is>
          <t>No</t>
        </is>
      </c>
      <c r="AS911" t="inlineStr">
        <is>
          <t>No</t>
        </is>
      </c>
      <c r="AU911">
        <f>HYPERLINK("https://creighton-primo.hosted.exlibrisgroup.com/primo-explore/search?tab=default_tab&amp;search_scope=EVERYTHING&amp;vid=01CRU&amp;lang=en_US&amp;offset=0&amp;query=any,contains,991003252889702656","Catalog Record")</f>
        <v/>
      </c>
      <c r="AV911">
        <f>HYPERLINK("http://www.worldcat.org/oclc/38986983","WorldCat Record")</f>
        <v/>
      </c>
      <c r="AW911" t="inlineStr">
        <is>
          <t>5091192010:spa</t>
        </is>
      </c>
      <c r="AX911" t="inlineStr">
        <is>
          <t>38986983</t>
        </is>
      </c>
      <c r="AY911" t="inlineStr">
        <is>
          <t>991003252889702656</t>
        </is>
      </c>
      <c r="AZ911" t="inlineStr">
        <is>
          <t>991003252889702656</t>
        </is>
      </c>
      <c r="BA911" t="inlineStr">
        <is>
          <t>2264924130002656</t>
        </is>
      </c>
      <c r="BB911" t="inlineStr">
        <is>
          <t>BOOK</t>
        </is>
      </c>
      <c r="BD911" t="inlineStr">
        <is>
          <t>9789684762985</t>
        </is>
      </c>
      <c r="BE911" t="inlineStr">
        <is>
          <t>32285003763660</t>
        </is>
      </c>
      <c r="BF911" t="inlineStr">
        <is>
          <t>893240013</t>
        </is>
      </c>
    </row>
    <row r="912">
      <c r="A912" t="inlineStr">
        <is>
          <t>No</t>
        </is>
      </c>
      <c r="B912" t="inlineStr">
        <is>
          <t>CURAL</t>
        </is>
      </c>
      <c r="C912" t="inlineStr">
        <is>
          <t>SHELVES</t>
        </is>
      </c>
      <c r="D912" t="inlineStr">
        <is>
          <t>PQ7298.23.A77 A87 1995</t>
        </is>
      </c>
      <c r="E912" t="inlineStr">
        <is>
          <t>0                      PQ 7298230A  77                 A  87          1995</t>
        </is>
      </c>
      <c r="F912" t="inlineStr">
        <is>
          <t>Arráncame la vida / Angeles Mastretta.</t>
        </is>
      </c>
      <c r="H912" t="inlineStr">
        <is>
          <t>No</t>
        </is>
      </c>
      <c r="I912" t="inlineStr">
        <is>
          <t>1</t>
        </is>
      </c>
      <c r="J912" t="inlineStr">
        <is>
          <t>No</t>
        </is>
      </c>
      <c r="K912" t="inlineStr">
        <is>
          <t>No</t>
        </is>
      </c>
      <c r="L912" t="inlineStr">
        <is>
          <t>0</t>
        </is>
      </c>
      <c r="M912" t="inlineStr">
        <is>
          <t>Mastretta, Ángeles, 1949-</t>
        </is>
      </c>
      <c r="N912" t="inlineStr">
        <is>
          <t>México, D.F. : Cal y Arena, 1995.</t>
        </is>
      </c>
      <c r="O912" t="inlineStr">
        <is>
          <t>1995</t>
        </is>
      </c>
      <c r="P912" t="inlineStr">
        <is>
          <t>32 ed.</t>
        </is>
      </c>
      <c r="Q912" t="inlineStr">
        <is>
          <t>spa</t>
        </is>
      </c>
      <c r="R912" t="inlineStr">
        <is>
          <t xml:space="preserve">mx </t>
        </is>
      </c>
      <c r="T912" t="inlineStr">
        <is>
          <t xml:space="preserve">PQ </t>
        </is>
      </c>
      <c r="U912" t="n">
        <v>1</v>
      </c>
      <c r="V912" t="n">
        <v>1</v>
      </c>
      <c r="W912" t="inlineStr">
        <is>
          <t>1998-09-24</t>
        </is>
      </c>
      <c r="X912" t="inlineStr">
        <is>
          <t>1998-09-24</t>
        </is>
      </c>
      <c r="Y912" t="inlineStr">
        <is>
          <t>1996-06-19</t>
        </is>
      </c>
      <c r="Z912" t="inlineStr">
        <is>
          <t>1996-06-19</t>
        </is>
      </c>
      <c r="AA912" t="n">
        <v>9</v>
      </c>
      <c r="AB912" t="n">
        <v>7</v>
      </c>
      <c r="AC912" t="n">
        <v>963</v>
      </c>
      <c r="AD912" t="n">
        <v>1</v>
      </c>
      <c r="AE912" t="n">
        <v>6</v>
      </c>
      <c r="AF912" t="n">
        <v>1</v>
      </c>
      <c r="AG912" t="n">
        <v>31</v>
      </c>
      <c r="AH912" t="n">
        <v>0</v>
      </c>
      <c r="AI912" t="n">
        <v>14</v>
      </c>
      <c r="AJ912" t="n">
        <v>1</v>
      </c>
      <c r="AK912" t="n">
        <v>9</v>
      </c>
      <c r="AL912" t="n">
        <v>1</v>
      </c>
      <c r="AM912" t="n">
        <v>15</v>
      </c>
      <c r="AN912" t="n">
        <v>0</v>
      </c>
      <c r="AO912" t="n">
        <v>4</v>
      </c>
      <c r="AP912" t="n">
        <v>0</v>
      </c>
      <c r="AQ912" t="n">
        <v>0</v>
      </c>
      <c r="AR912" t="inlineStr">
        <is>
          <t>No</t>
        </is>
      </c>
      <c r="AS912" t="inlineStr">
        <is>
          <t>Yes</t>
        </is>
      </c>
      <c r="AT912">
        <f>HYPERLINK("http://catalog.hathitrust.org/Record/003192310","HathiTrust Record")</f>
        <v/>
      </c>
      <c r="AU912">
        <f>HYPERLINK("https://creighton-primo.hosted.exlibrisgroup.com/primo-explore/search?tab=default_tab&amp;search_scope=EVERYTHING&amp;vid=01CRU&amp;lang=en_US&amp;offset=0&amp;query=any,contains,991002538509702656","Catalog Record")</f>
        <v/>
      </c>
      <c r="AV912">
        <f>HYPERLINK("http://www.worldcat.org/oclc/32981175","WorldCat Record")</f>
        <v/>
      </c>
      <c r="AW912" t="inlineStr">
        <is>
          <t>135230:spa</t>
        </is>
      </c>
      <c r="AX912" t="inlineStr">
        <is>
          <t>32981175</t>
        </is>
      </c>
      <c r="AY912" t="inlineStr">
        <is>
          <t>991002538509702656</t>
        </is>
      </c>
      <c r="AZ912" t="inlineStr">
        <is>
          <t>991002538509702656</t>
        </is>
      </c>
      <c r="BA912" t="inlineStr">
        <is>
          <t>2270636260002656</t>
        </is>
      </c>
      <c r="BB912" t="inlineStr">
        <is>
          <t>BOOK</t>
        </is>
      </c>
      <c r="BD912" t="inlineStr">
        <is>
          <t>9789684930667</t>
        </is>
      </c>
      <c r="BE912" t="inlineStr">
        <is>
          <t>32285002194776</t>
        </is>
      </c>
      <c r="BF912" t="inlineStr">
        <is>
          <t>893892687</t>
        </is>
      </c>
    </row>
    <row r="913">
      <c r="A913" t="inlineStr">
        <is>
          <t>No</t>
        </is>
      </c>
      <c r="B913" t="inlineStr">
        <is>
          <t>CURAL</t>
        </is>
      </c>
      <c r="C913" t="inlineStr">
        <is>
          <t>SHELVES</t>
        </is>
      </c>
      <c r="D913" t="inlineStr">
        <is>
          <t>PQ7298.23.E29 A84 1997</t>
        </is>
      </c>
      <c r="E913" t="inlineStr">
        <is>
          <t>0                      PQ 7298230E  29                 A  84          1997</t>
        </is>
      </c>
      <c r="F913" t="inlineStr">
        <is>
          <t>Aposento vacío : [historias de soledad] / Víctor Manuel Medina Cervantes.</t>
        </is>
      </c>
      <c r="H913" t="inlineStr">
        <is>
          <t>No</t>
        </is>
      </c>
      <c r="I913" t="inlineStr">
        <is>
          <t>1</t>
        </is>
      </c>
      <c r="J913" t="inlineStr">
        <is>
          <t>No</t>
        </is>
      </c>
      <c r="K913" t="inlineStr">
        <is>
          <t>No</t>
        </is>
      </c>
      <c r="L913" t="inlineStr">
        <is>
          <t>0</t>
        </is>
      </c>
      <c r="M913" t="inlineStr">
        <is>
          <t>Medina Cervantes, Víctor Manuel, 1963-</t>
        </is>
      </c>
      <c r="N913" t="inlineStr">
        <is>
          <t>México, D.F. : Hoja Casa Editorial, c1997.</t>
        </is>
      </c>
      <c r="O913" t="inlineStr">
        <is>
          <t>1997</t>
        </is>
      </c>
      <c r="P913" t="inlineStr">
        <is>
          <t>1. ed.</t>
        </is>
      </c>
      <c r="Q913" t="inlineStr">
        <is>
          <t>spa</t>
        </is>
      </c>
      <c r="R913" t="inlineStr">
        <is>
          <t xml:space="preserve">mx </t>
        </is>
      </c>
      <c r="S913" t="inlineStr">
        <is>
          <t>Sentido contrario</t>
        </is>
      </c>
      <c r="T913" t="inlineStr">
        <is>
          <t xml:space="preserve">PQ </t>
        </is>
      </c>
      <c r="U913" t="n">
        <v>1</v>
      </c>
      <c r="V913" t="n">
        <v>1</v>
      </c>
      <c r="W913" t="inlineStr">
        <is>
          <t>2001-01-17</t>
        </is>
      </c>
      <c r="X913" t="inlineStr">
        <is>
          <t>2001-01-17</t>
        </is>
      </c>
      <c r="Y913" t="inlineStr">
        <is>
          <t>2001-01-17</t>
        </is>
      </c>
      <c r="Z913" t="inlineStr">
        <is>
          <t>2001-01-17</t>
        </is>
      </c>
      <c r="AA913" t="n">
        <v>17</v>
      </c>
      <c r="AB913" t="n">
        <v>16</v>
      </c>
      <c r="AC913" t="n">
        <v>18</v>
      </c>
      <c r="AD913" t="n">
        <v>1</v>
      </c>
      <c r="AE913" t="n">
        <v>1</v>
      </c>
      <c r="AF913" t="n">
        <v>0</v>
      </c>
      <c r="AG913" t="n">
        <v>0</v>
      </c>
      <c r="AH913" t="n">
        <v>0</v>
      </c>
      <c r="AI913" t="n">
        <v>0</v>
      </c>
      <c r="AJ913" t="n">
        <v>0</v>
      </c>
      <c r="AK913" t="n">
        <v>0</v>
      </c>
      <c r="AL913" t="n">
        <v>0</v>
      </c>
      <c r="AM913" t="n">
        <v>0</v>
      </c>
      <c r="AN913" t="n">
        <v>0</v>
      </c>
      <c r="AO913" t="n">
        <v>0</v>
      </c>
      <c r="AP913" t="n">
        <v>0</v>
      </c>
      <c r="AQ913" t="n">
        <v>0</v>
      </c>
      <c r="AR913" t="inlineStr">
        <is>
          <t>No</t>
        </is>
      </c>
      <c r="AS913" t="inlineStr">
        <is>
          <t>Yes</t>
        </is>
      </c>
      <c r="AT913">
        <f>HYPERLINK("http://catalog.hathitrust.org/Record/008449912","HathiTrust Record")</f>
        <v/>
      </c>
      <c r="AU913">
        <f>HYPERLINK("https://creighton-primo.hosted.exlibrisgroup.com/primo-explore/search?tab=default_tab&amp;search_scope=EVERYTHING&amp;vid=01CRU&amp;lang=en_US&amp;offset=0&amp;query=any,contains,991003252859702656","Catalog Record")</f>
        <v/>
      </c>
      <c r="AV913">
        <f>HYPERLINK("http://www.worldcat.org/oclc/38841072","WorldCat Record")</f>
        <v/>
      </c>
      <c r="AW913" t="inlineStr">
        <is>
          <t>42347350:spa</t>
        </is>
      </c>
      <c r="AX913" t="inlineStr">
        <is>
          <t>38841072</t>
        </is>
      </c>
      <c r="AY913" t="inlineStr">
        <is>
          <t>991003252859702656</t>
        </is>
      </c>
      <c r="AZ913" t="inlineStr">
        <is>
          <t>991003252859702656</t>
        </is>
      </c>
      <c r="BA913" t="inlineStr">
        <is>
          <t>2255649470002656</t>
        </is>
      </c>
      <c r="BB913" t="inlineStr">
        <is>
          <t>BOOK</t>
        </is>
      </c>
      <c r="BD913" t="inlineStr">
        <is>
          <t>9789686565621</t>
        </is>
      </c>
      <c r="BE913" t="inlineStr">
        <is>
          <t>32285004290200</t>
        </is>
      </c>
      <c r="BF913" t="inlineStr">
        <is>
          <t>893809899</t>
        </is>
      </c>
    </row>
    <row r="914">
      <c r="A914" t="inlineStr">
        <is>
          <t>No</t>
        </is>
      </c>
      <c r="B914" t="inlineStr">
        <is>
          <t>CURAL</t>
        </is>
      </c>
      <c r="C914" t="inlineStr">
        <is>
          <t>SHELVES</t>
        </is>
      </c>
      <c r="D914" t="inlineStr">
        <is>
          <t>PQ7298.26.A25 A85 1999</t>
        </is>
      </c>
      <c r="E914" t="inlineStr">
        <is>
          <t>0                      PQ 7298260A  25                 A  85          1999</t>
        </is>
      </c>
      <c r="F914" t="inlineStr">
        <is>
          <t>La arena errante : poemas, 1992-1998 / José Emilio Pacheco.</t>
        </is>
      </c>
      <c r="H914" t="inlineStr">
        <is>
          <t>No</t>
        </is>
      </c>
      <c r="I914" t="inlineStr">
        <is>
          <t>1</t>
        </is>
      </c>
      <c r="J914" t="inlineStr">
        <is>
          <t>No</t>
        </is>
      </c>
      <c r="K914" t="inlineStr">
        <is>
          <t>No</t>
        </is>
      </c>
      <c r="L914" t="inlineStr">
        <is>
          <t>0</t>
        </is>
      </c>
      <c r="M914" t="inlineStr">
        <is>
          <t>Pacheco, José Emilio.</t>
        </is>
      </c>
      <c r="N914" t="inlineStr">
        <is>
          <t>México, D.F. : Ediciones Era, 1999.</t>
        </is>
      </c>
      <c r="O914" t="inlineStr">
        <is>
          <t>1999</t>
        </is>
      </c>
      <c r="P914" t="inlineStr">
        <is>
          <t>1a ed.</t>
        </is>
      </c>
      <c r="Q914" t="inlineStr">
        <is>
          <t>spa</t>
        </is>
      </c>
      <c r="R914" t="inlineStr">
        <is>
          <t xml:space="preserve">mx </t>
        </is>
      </c>
      <c r="S914" t="inlineStr">
        <is>
          <t>Biblioteca Era</t>
        </is>
      </c>
      <c r="T914" t="inlineStr">
        <is>
          <t xml:space="preserve">PQ </t>
        </is>
      </c>
      <c r="U914" t="n">
        <v>1</v>
      </c>
      <c r="V914" t="n">
        <v>1</v>
      </c>
      <c r="W914" t="inlineStr">
        <is>
          <t>2004-01-15</t>
        </is>
      </c>
      <c r="X914" t="inlineStr">
        <is>
          <t>2004-01-15</t>
        </is>
      </c>
      <c r="Y914" t="inlineStr">
        <is>
          <t>2000-09-20</t>
        </is>
      </c>
      <c r="Z914" t="inlineStr">
        <is>
          <t>2000-09-20</t>
        </is>
      </c>
      <c r="AA914" t="n">
        <v>132</v>
      </c>
      <c r="AB914" t="n">
        <v>102</v>
      </c>
      <c r="AC914" t="n">
        <v>104</v>
      </c>
      <c r="AD914" t="n">
        <v>1</v>
      </c>
      <c r="AE914" t="n">
        <v>1</v>
      </c>
      <c r="AF914" t="n">
        <v>2</v>
      </c>
      <c r="AG914" t="n">
        <v>2</v>
      </c>
      <c r="AH914" t="n">
        <v>1</v>
      </c>
      <c r="AI914" t="n">
        <v>1</v>
      </c>
      <c r="AJ914" t="n">
        <v>1</v>
      </c>
      <c r="AK914" t="n">
        <v>1</v>
      </c>
      <c r="AL914" t="n">
        <v>1</v>
      </c>
      <c r="AM914" t="n">
        <v>1</v>
      </c>
      <c r="AN914" t="n">
        <v>0</v>
      </c>
      <c r="AO914" t="n">
        <v>0</v>
      </c>
      <c r="AP914" t="n">
        <v>0</v>
      </c>
      <c r="AQ914" t="n">
        <v>0</v>
      </c>
      <c r="AR914" t="inlineStr">
        <is>
          <t>No</t>
        </is>
      </c>
      <c r="AS914" t="inlineStr">
        <is>
          <t>Yes</t>
        </is>
      </c>
      <c r="AT914">
        <f>HYPERLINK("http://catalog.hathitrust.org/Record/004076381","HathiTrust Record")</f>
        <v/>
      </c>
      <c r="AU914">
        <f>HYPERLINK("https://creighton-primo.hosted.exlibrisgroup.com/primo-explore/search?tab=default_tab&amp;search_scope=EVERYTHING&amp;vid=01CRU&amp;lang=en_US&amp;offset=0&amp;query=any,contains,991003255199702656","Catalog Record")</f>
        <v/>
      </c>
      <c r="AV914">
        <f>HYPERLINK("http://www.worldcat.org/oclc/43335872","WorldCat Record")</f>
        <v/>
      </c>
      <c r="AW914" t="inlineStr">
        <is>
          <t>391025152:spa</t>
        </is>
      </c>
      <c r="AX914" t="inlineStr">
        <is>
          <t>43335872</t>
        </is>
      </c>
      <c r="AY914" t="inlineStr">
        <is>
          <t>991003255199702656</t>
        </is>
      </c>
      <c r="AZ914" t="inlineStr">
        <is>
          <t>991003255199702656</t>
        </is>
      </c>
      <c r="BA914" t="inlineStr">
        <is>
          <t>2270467720002656</t>
        </is>
      </c>
      <c r="BB914" t="inlineStr">
        <is>
          <t>BOOK</t>
        </is>
      </c>
      <c r="BD914" t="inlineStr">
        <is>
          <t>9789684114630</t>
        </is>
      </c>
      <c r="BE914" t="inlineStr">
        <is>
          <t>32285003763553</t>
        </is>
      </c>
      <c r="BF914" t="inlineStr">
        <is>
          <t>893499113</t>
        </is>
      </c>
    </row>
    <row r="915">
      <c r="A915" t="inlineStr">
        <is>
          <t>No</t>
        </is>
      </c>
      <c r="B915" t="inlineStr">
        <is>
          <t>CURAL</t>
        </is>
      </c>
      <c r="C915" t="inlineStr">
        <is>
          <t>SHELVES</t>
        </is>
      </c>
      <c r="D915" t="inlineStr">
        <is>
          <t>PQ7298.26.A25 B3 1981</t>
        </is>
      </c>
      <c r="E915" t="inlineStr">
        <is>
          <t>0                      PQ 7298260A  25                 B  3           1981</t>
        </is>
      </c>
      <c r="F915" t="inlineStr">
        <is>
          <t>Las batallas en el desierto / José Emilio Pacheco.</t>
        </is>
      </c>
      <c r="H915" t="inlineStr">
        <is>
          <t>No</t>
        </is>
      </c>
      <c r="I915" t="inlineStr">
        <is>
          <t>1</t>
        </is>
      </c>
      <c r="J915" t="inlineStr">
        <is>
          <t>No</t>
        </is>
      </c>
      <c r="K915" t="inlineStr">
        <is>
          <t>No</t>
        </is>
      </c>
      <c r="L915" t="inlineStr">
        <is>
          <t>0</t>
        </is>
      </c>
      <c r="M915" t="inlineStr">
        <is>
          <t>Pacheco, José Emilio.</t>
        </is>
      </c>
      <c r="N915" t="inlineStr">
        <is>
          <t>México, D.F. : Ediciones Era, 1981</t>
        </is>
      </c>
      <c r="O915" t="inlineStr">
        <is>
          <t>1981</t>
        </is>
      </c>
      <c r="P915" t="inlineStr">
        <is>
          <t>1a ed.</t>
        </is>
      </c>
      <c r="Q915" t="inlineStr">
        <is>
          <t>spa</t>
        </is>
      </c>
      <c r="R915" t="inlineStr">
        <is>
          <t xml:space="preserve">mx </t>
        </is>
      </c>
      <c r="S915" t="inlineStr">
        <is>
          <t>Biblioteca Era</t>
        </is>
      </c>
      <c r="T915" t="inlineStr">
        <is>
          <t xml:space="preserve">PQ </t>
        </is>
      </c>
      <c r="U915" t="n">
        <v>1</v>
      </c>
      <c r="V915" t="n">
        <v>1</v>
      </c>
      <c r="W915" t="inlineStr">
        <is>
          <t>2003-04-01</t>
        </is>
      </c>
      <c r="X915" t="inlineStr">
        <is>
          <t>2003-04-01</t>
        </is>
      </c>
      <c r="Y915" t="inlineStr">
        <is>
          <t>1996-06-18</t>
        </is>
      </c>
      <c r="Z915" t="inlineStr">
        <is>
          <t>1996-06-18</t>
        </is>
      </c>
      <c r="AA915" t="n">
        <v>205</v>
      </c>
      <c r="AB915" t="n">
        <v>181</v>
      </c>
      <c r="AC915" t="n">
        <v>415</v>
      </c>
      <c r="AD915" t="n">
        <v>2</v>
      </c>
      <c r="AE915" t="n">
        <v>4</v>
      </c>
      <c r="AF915" t="n">
        <v>7</v>
      </c>
      <c r="AG915" t="n">
        <v>18</v>
      </c>
      <c r="AH915" t="n">
        <v>1</v>
      </c>
      <c r="AI915" t="n">
        <v>4</v>
      </c>
      <c r="AJ915" t="n">
        <v>4</v>
      </c>
      <c r="AK915" t="n">
        <v>6</v>
      </c>
      <c r="AL915" t="n">
        <v>4</v>
      </c>
      <c r="AM915" t="n">
        <v>10</v>
      </c>
      <c r="AN915" t="n">
        <v>1</v>
      </c>
      <c r="AO915" t="n">
        <v>2</v>
      </c>
      <c r="AP915" t="n">
        <v>0</v>
      </c>
      <c r="AQ915" t="n">
        <v>0</v>
      </c>
      <c r="AR915" t="inlineStr">
        <is>
          <t>No</t>
        </is>
      </c>
      <c r="AS915" t="inlineStr">
        <is>
          <t>Yes</t>
        </is>
      </c>
      <c r="AT915">
        <f>HYPERLINK("http://catalog.hathitrust.org/Record/002194590","HathiTrust Record")</f>
        <v/>
      </c>
      <c r="AU915">
        <f>HYPERLINK("https://creighton-primo.hosted.exlibrisgroup.com/primo-explore/search?tab=default_tab&amp;search_scope=EVERYTHING&amp;vid=01CRU&amp;lang=en_US&amp;offset=0&amp;query=any,contains,991005162899702656","Catalog Record")</f>
        <v/>
      </c>
      <c r="AV915">
        <f>HYPERLINK("http://www.worldcat.org/oclc/7801574","WorldCat Record")</f>
        <v/>
      </c>
      <c r="AW915" t="inlineStr">
        <is>
          <t>350488181:spa</t>
        </is>
      </c>
      <c r="AX915" t="inlineStr">
        <is>
          <t>7801574</t>
        </is>
      </c>
      <c r="AY915" t="inlineStr">
        <is>
          <t>991005162899702656</t>
        </is>
      </c>
      <c r="AZ915" t="inlineStr">
        <is>
          <t>991005162899702656</t>
        </is>
      </c>
      <c r="BA915" t="inlineStr">
        <is>
          <t>2257956010002656</t>
        </is>
      </c>
      <c r="BB915" t="inlineStr">
        <is>
          <t>BOOK</t>
        </is>
      </c>
      <c r="BD915" t="inlineStr">
        <is>
          <t>9789684110526</t>
        </is>
      </c>
      <c r="BE915" t="inlineStr">
        <is>
          <t>32285002193992</t>
        </is>
      </c>
      <c r="BF915" t="inlineStr">
        <is>
          <t>893350840</t>
        </is>
      </c>
    </row>
    <row r="916">
      <c r="A916" t="inlineStr">
        <is>
          <t>No</t>
        </is>
      </c>
      <c r="B916" t="inlineStr">
        <is>
          <t>CURAL</t>
        </is>
      </c>
      <c r="C916" t="inlineStr">
        <is>
          <t>SHELVES</t>
        </is>
      </c>
      <c r="D916" t="inlineStr">
        <is>
          <t>PQ7298.26.A25 I8 1985</t>
        </is>
      </c>
      <c r="E916" t="inlineStr">
        <is>
          <t>0                      PQ 7298260A  25                 I  8           1985</t>
        </is>
      </c>
      <c r="F916" t="inlineStr">
        <is>
          <t>Islas a la deriva : poemas, 1973-1975 / Josae Emilio Pacheco.</t>
        </is>
      </c>
      <c r="H916" t="inlineStr">
        <is>
          <t>No</t>
        </is>
      </c>
      <c r="I916" t="inlineStr">
        <is>
          <t>1</t>
        </is>
      </c>
      <c r="J916" t="inlineStr">
        <is>
          <t>No</t>
        </is>
      </c>
      <c r="K916" t="inlineStr">
        <is>
          <t>No</t>
        </is>
      </c>
      <c r="L916" t="inlineStr">
        <is>
          <t>0</t>
        </is>
      </c>
      <c r="M916" t="inlineStr">
        <is>
          <t>Pacheco, Josae Emilio.</t>
        </is>
      </c>
      <c r="N916" t="inlineStr">
        <is>
          <t>Maexico : Ediciones Era, 1985.</t>
        </is>
      </c>
      <c r="O916" t="inlineStr">
        <is>
          <t>1985</t>
        </is>
      </c>
      <c r="P916" t="inlineStr">
        <is>
          <t>3. ed.</t>
        </is>
      </c>
      <c r="Q916" t="inlineStr">
        <is>
          <t>spa</t>
        </is>
      </c>
      <c r="R916" t="inlineStr">
        <is>
          <t xml:space="preserve">mx </t>
        </is>
      </c>
      <c r="S916" t="inlineStr">
        <is>
          <t>Biblioteca Era</t>
        </is>
      </c>
      <c r="T916" t="inlineStr">
        <is>
          <t xml:space="preserve">PQ </t>
        </is>
      </c>
      <c r="U916" t="n">
        <v>1</v>
      </c>
      <c r="V916" t="n">
        <v>1</v>
      </c>
      <c r="W916" t="inlineStr">
        <is>
          <t>2004-08-02</t>
        </is>
      </c>
      <c r="X916" t="inlineStr">
        <is>
          <t>2004-08-02</t>
        </is>
      </c>
      <c r="Y916" t="inlineStr">
        <is>
          <t>2004-08-02</t>
        </is>
      </c>
      <c r="Z916" t="inlineStr">
        <is>
          <t>2004-08-02</t>
        </is>
      </c>
      <c r="AA916" t="n">
        <v>64</v>
      </c>
      <c r="AB916" t="n">
        <v>48</v>
      </c>
      <c r="AC916" t="n">
        <v>70</v>
      </c>
      <c r="AD916" t="n">
        <v>2</v>
      </c>
      <c r="AE916" t="n">
        <v>2</v>
      </c>
      <c r="AF916" t="n">
        <v>2</v>
      </c>
      <c r="AG916" t="n">
        <v>4</v>
      </c>
      <c r="AH916" t="n">
        <v>0</v>
      </c>
      <c r="AI916" t="n">
        <v>2</v>
      </c>
      <c r="AJ916" t="n">
        <v>1</v>
      </c>
      <c r="AK916" t="n">
        <v>2</v>
      </c>
      <c r="AL916" t="n">
        <v>0</v>
      </c>
      <c r="AM916" t="n">
        <v>0</v>
      </c>
      <c r="AN916" t="n">
        <v>1</v>
      </c>
      <c r="AO916" t="n">
        <v>1</v>
      </c>
      <c r="AP916" t="n">
        <v>0</v>
      </c>
      <c r="AQ916" t="n">
        <v>0</v>
      </c>
      <c r="AR916" t="inlineStr">
        <is>
          <t>No</t>
        </is>
      </c>
      <c r="AS916" t="inlineStr">
        <is>
          <t>Yes</t>
        </is>
      </c>
      <c r="AT916">
        <f>HYPERLINK("http://catalog.hathitrust.org/Record/007136447","HathiTrust Record")</f>
        <v/>
      </c>
      <c r="AU916">
        <f>HYPERLINK("https://creighton-primo.hosted.exlibrisgroup.com/primo-explore/search?tab=default_tab&amp;search_scope=EVERYTHING&amp;vid=01CRU&amp;lang=en_US&amp;offset=0&amp;query=any,contains,991004333209702656","Catalog Record")</f>
        <v/>
      </c>
      <c r="AV916">
        <f>HYPERLINK("http://www.worldcat.org/oclc/17937966","WorldCat Record")</f>
        <v/>
      </c>
      <c r="AW916" t="inlineStr">
        <is>
          <t>4494935944:spa</t>
        </is>
      </c>
      <c r="AX916" t="inlineStr">
        <is>
          <t>17937966</t>
        </is>
      </c>
      <c r="AY916" t="inlineStr">
        <is>
          <t>991004333209702656</t>
        </is>
      </c>
      <c r="AZ916" t="inlineStr">
        <is>
          <t>991004333209702656</t>
        </is>
      </c>
      <c r="BA916" t="inlineStr">
        <is>
          <t>2268582230002656</t>
        </is>
      </c>
      <c r="BB916" t="inlineStr">
        <is>
          <t>BOOK</t>
        </is>
      </c>
      <c r="BD916" t="inlineStr">
        <is>
          <t>9789684111356</t>
        </is>
      </c>
      <c r="BE916" t="inlineStr">
        <is>
          <t>32285004925383</t>
        </is>
      </c>
      <c r="BF916" t="inlineStr">
        <is>
          <t>893775898</t>
        </is>
      </c>
    </row>
    <row r="917">
      <c r="A917" t="inlineStr">
        <is>
          <t>No</t>
        </is>
      </c>
      <c r="B917" t="inlineStr">
        <is>
          <t>CURAL</t>
        </is>
      </c>
      <c r="C917" t="inlineStr">
        <is>
          <t>SHELVES</t>
        </is>
      </c>
      <c r="D917" t="inlineStr">
        <is>
          <t>PQ7298.26.A25 S55 1994</t>
        </is>
      </c>
      <c r="E917" t="inlineStr">
        <is>
          <t>0                      PQ 7298260A  25                 S  55          1994</t>
        </is>
      </c>
      <c r="F917" t="inlineStr">
        <is>
          <t>El silencio de la luna : poemas 1985-1993 / José Emilio Pacheco.</t>
        </is>
      </c>
      <c r="H917" t="inlineStr">
        <is>
          <t>No</t>
        </is>
      </c>
      <c r="I917" t="inlineStr">
        <is>
          <t>1</t>
        </is>
      </c>
      <c r="J917" t="inlineStr">
        <is>
          <t>No</t>
        </is>
      </c>
      <c r="K917" t="inlineStr">
        <is>
          <t>No</t>
        </is>
      </c>
      <c r="L917" t="inlineStr">
        <is>
          <t>0</t>
        </is>
      </c>
      <c r="M917" t="inlineStr">
        <is>
          <t>Pacheco, José Emilio.</t>
        </is>
      </c>
      <c r="N917" t="inlineStr">
        <is>
          <t>México, D.F. : Ediciones Era, 1994.</t>
        </is>
      </c>
      <c r="O917" t="inlineStr">
        <is>
          <t>1994</t>
        </is>
      </c>
      <c r="P917" t="inlineStr">
        <is>
          <t>1. ed.</t>
        </is>
      </c>
      <c r="Q917" t="inlineStr">
        <is>
          <t>spa</t>
        </is>
      </c>
      <c r="R917" t="inlineStr">
        <is>
          <t xml:space="preserve">mx </t>
        </is>
      </c>
      <c r="S917" t="inlineStr">
        <is>
          <t>Biblioteca Era</t>
        </is>
      </c>
      <c r="T917" t="inlineStr">
        <is>
          <t xml:space="preserve">PQ </t>
        </is>
      </c>
      <c r="U917" t="n">
        <v>1</v>
      </c>
      <c r="V917" t="n">
        <v>1</v>
      </c>
      <c r="W917" t="inlineStr">
        <is>
          <t>2004-07-08</t>
        </is>
      </c>
      <c r="X917" t="inlineStr">
        <is>
          <t>2004-07-08</t>
        </is>
      </c>
      <c r="Y917" t="inlineStr">
        <is>
          <t>1997-03-05</t>
        </is>
      </c>
      <c r="Z917" t="inlineStr">
        <is>
          <t>1997-03-05</t>
        </is>
      </c>
      <c r="AA917" t="n">
        <v>147</v>
      </c>
      <c r="AB917" t="n">
        <v>119</v>
      </c>
      <c r="AC917" t="n">
        <v>123</v>
      </c>
      <c r="AD917" t="n">
        <v>1</v>
      </c>
      <c r="AE917" t="n">
        <v>1</v>
      </c>
      <c r="AF917" t="n">
        <v>5</v>
      </c>
      <c r="AG917" t="n">
        <v>5</v>
      </c>
      <c r="AH917" t="n">
        <v>1</v>
      </c>
      <c r="AI917" t="n">
        <v>1</v>
      </c>
      <c r="AJ917" t="n">
        <v>2</v>
      </c>
      <c r="AK917" t="n">
        <v>2</v>
      </c>
      <c r="AL917" t="n">
        <v>3</v>
      </c>
      <c r="AM917" t="n">
        <v>3</v>
      </c>
      <c r="AN917" t="n">
        <v>0</v>
      </c>
      <c r="AO917" t="n">
        <v>0</v>
      </c>
      <c r="AP917" t="n">
        <v>0</v>
      </c>
      <c r="AQ917" t="n">
        <v>0</v>
      </c>
      <c r="AR917" t="inlineStr">
        <is>
          <t>No</t>
        </is>
      </c>
      <c r="AS917" t="inlineStr">
        <is>
          <t>Yes</t>
        </is>
      </c>
      <c r="AT917">
        <f>HYPERLINK("http://catalog.hathitrust.org/Record/003099271","HathiTrust Record")</f>
        <v/>
      </c>
      <c r="AU917">
        <f>HYPERLINK("https://creighton-primo.hosted.exlibrisgroup.com/primo-explore/search?tab=default_tab&amp;search_scope=EVERYTHING&amp;vid=01CRU&amp;lang=en_US&amp;offset=0&amp;query=any,contains,991002409109702656","Catalog Record")</f>
        <v/>
      </c>
      <c r="AV917">
        <f>HYPERLINK("http://www.worldcat.org/oclc/31360632","WorldCat Record")</f>
        <v/>
      </c>
      <c r="AW917" t="inlineStr">
        <is>
          <t>10278481713:spa</t>
        </is>
      </c>
      <c r="AX917" t="inlineStr">
        <is>
          <t>31360632</t>
        </is>
      </c>
      <c r="AY917" t="inlineStr">
        <is>
          <t>991002409109702656</t>
        </is>
      </c>
      <c r="AZ917" t="inlineStr">
        <is>
          <t>991002409109702656</t>
        </is>
      </c>
      <c r="BA917" t="inlineStr">
        <is>
          <t>2261982180002656</t>
        </is>
      </c>
      <c r="BB917" t="inlineStr">
        <is>
          <t>BOOK</t>
        </is>
      </c>
      <c r="BD917" t="inlineStr">
        <is>
          <t>9789684113664</t>
        </is>
      </c>
      <c r="BE917" t="inlineStr">
        <is>
          <t>32285002440096</t>
        </is>
      </c>
      <c r="BF917" t="inlineStr">
        <is>
          <t>893322902</t>
        </is>
      </c>
    </row>
    <row r="918">
      <c r="A918" t="inlineStr">
        <is>
          <t>No</t>
        </is>
      </c>
      <c r="B918" t="inlineStr">
        <is>
          <t>CURAL</t>
        </is>
      </c>
      <c r="C918" t="inlineStr">
        <is>
          <t>SHELVES</t>
        </is>
      </c>
      <c r="D918" t="inlineStr">
        <is>
          <t>PQ7298.26.A25 Z74 1993</t>
        </is>
      </c>
      <c r="E918" t="inlineStr">
        <is>
          <t>0                      PQ 7298260A  25                 Z  74          1993</t>
        </is>
      </c>
      <c r="F918" t="inlineStr">
        <is>
          <t>La hoguera y el viento : José Emilio Pacheco ante la crítica / selección y prólogo de Hugo J. Verani.</t>
        </is>
      </c>
      <c r="H918" t="inlineStr">
        <is>
          <t>No</t>
        </is>
      </c>
      <c r="I918" t="inlineStr">
        <is>
          <t>1</t>
        </is>
      </c>
      <c r="J918" t="inlineStr">
        <is>
          <t>No</t>
        </is>
      </c>
      <c r="K918" t="inlineStr">
        <is>
          <t>No</t>
        </is>
      </c>
      <c r="L918" t="inlineStr">
        <is>
          <t>0</t>
        </is>
      </c>
      <c r="N918" t="inlineStr">
        <is>
          <t>México, D.F. : Coordinación de Difusión Cultural, Dirección de Literatura, Universidad Nacional Autónoma de México : Ediciones Era, 1993.</t>
        </is>
      </c>
      <c r="O918" t="inlineStr">
        <is>
          <t>1993</t>
        </is>
      </c>
      <c r="P918" t="inlineStr">
        <is>
          <t>1. ed., corr. y aum. en Biblioteca Era.</t>
        </is>
      </c>
      <c r="Q918" t="inlineStr">
        <is>
          <t>spa</t>
        </is>
      </c>
      <c r="R918" t="inlineStr">
        <is>
          <t xml:space="preserve">mx </t>
        </is>
      </c>
      <c r="S918" t="inlineStr">
        <is>
          <t>Biblioteca Era</t>
        </is>
      </c>
      <c r="T918" t="inlineStr">
        <is>
          <t xml:space="preserve">PQ </t>
        </is>
      </c>
      <c r="U918" t="n">
        <v>1</v>
      </c>
      <c r="V918" t="n">
        <v>1</v>
      </c>
      <c r="W918" t="inlineStr">
        <is>
          <t>2004-06-03</t>
        </is>
      </c>
      <c r="X918" t="inlineStr">
        <is>
          <t>2004-06-03</t>
        </is>
      </c>
      <c r="Y918" t="inlineStr">
        <is>
          <t>2002-04-30</t>
        </is>
      </c>
      <c r="Z918" t="inlineStr">
        <is>
          <t>2002-04-30</t>
        </is>
      </c>
      <c r="AA918" t="n">
        <v>90</v>
      </c>
      <c r="AB918" t="n">
        <v>68</v>
      </c>
      <c r="AC918" t="n">
        <v>76</v>
      </c>
      <c r="AD918" t="n">
        <v>1</v>
      </c>
      <c r="AE918" t="n">
        <v>1</v>
      </c>
      <c r="AF918" t="n">
        <v>4</v>
      </c>
      <c r="AG918" t="n">
        <v>5</v>
      </c>
      <c r="AH918" t="n">
        <v>0</v>
      </c>
      <c r="AI918" t="n">
        <v>0</v>
      </c>
      <c r="AJ918" t="n">
        <v>2</v>
      </c>
      <c r="AK918" t="n">
        <v>3</v>
      </c>
      <c r="AL918" t="n">
        <v>3</v>
      </c>
      <c r="AM918" t="n">
        <v>4</v>
      </c>
      <c r="AN918" t="n">
        <v>0</v>
      </c>
      <c r="AO918" t="n">
        <v>0</v>
      </c>
      <c r="AP918" t="n">
        <v>0</v>
      </c>
      <c r="AQ918" t="n">
        <v>0</v>
      </c>
      <c r="AR918" t="inlineStr">
        <is>
          <t>No</t>
        </is>
      </c>
      <c r="AS918" t="inlineStr">
        <is>
          <t>Yes</t>
        </is>
      </c>
      <c r="AT918">
        <f>HYPERLINK("http://catalog.hathitrust.org/Record/007129676","HathiTrust Record")</f>
        <v/>
      </c>
      <c r="AU918">
        <f>HYPERLINK("https://creighton-primo.hosted.exlibrisgroup.com/primo-explore/search?tab=default_tab&amp;search_scope=EVERYTHING&amp;vid=01CRU&amp;lang=en_US&amp;offset=0&amp;query=any,contains,991003772739702656","Catalog Record")</f>
        <v/>
      </c>
      <c r="AV918">
        <f>HYPERLINK("http://www.worldcat.org/oclc/30702031","WorldCat Record")</f>
        <v/>
      </c>
      <c r="AW918" t="inlineStr">
        <is>
          <t>320193316:spa</t>
        </is>
      </c>
      <c r="AX918" t="inlineStr">
        <is>
          <t>30702031</t>
        </is>
      </c>
      <c r="AY918" t="inlineStr">
        <is>
          <t>991003772739702656</t>
        </is>
      </c>
      <c r="AZ918" t="inlineStr">
        <is>
          <t>991003772739702656</t>
        </is>
      </c>
      <c r="BA918" t="inlineStr">
        <is>
          <t>2262115910002656</t>
        </is>
      </c>
      <c r="BB918" t="inlineStr">
        <is>
          <t>BOOK</t>
        </is>
      </c>
      <c r="BD918" t="inlineStr">
        <is>
          <t>9789684113541</t>
        </is>
      </c>
      <c r="BE918" t="inlineStr">
        <is>
          <t>32285004484829</t>
        </is>
      </c>
      <c r="BF918" t="inlineStr">
        <is>
          <t>893324462</t>
        </is>
      </c>
    </row>
    <row r="919">
      <c r="A919" t="inlineStr">
        <is>
          <t>No</t>
        </is>
      </c>
      <c r="B919" t="inlineStr">
        <is>
          <t>CURAL</t>
        </is>
      </c>
      <c r="C919" t="inlineStr">
        <is>
          <t>SHELVES</t>
        </is>
      </c>
      <c r="D919" t="inlineStr">
        <is>
          <t>PQ7298.26.A285 A4713 2003</t>
        </is>
      </c>
      <c r="E919" t="inlineStr">
        <is>
          <t>0                      PQ 7298260A  285                A  4713        2003</t>
        </is>
      </c>
      <c r="F919" t="inlineStr">
        <is>
          <t>Shadow without a name / Ignacio Padilla ; translated by Peter Bush and Anne McLean.</t>
        </is>
      </c>
      <c r="H919" t="inlineStr">
        <is>
          <t>No</t>
        </is>
      </c>
      <c r="I919" t="inlineStr">
        <is>
          <t>1</t>
        </is>
      </c>
      <c r="J919" t="inlineStr">
        <is>
          <t>No</t>
        </is>
      </c>
      <c r="K919" t="inlineStr">
        <is>
          <t>No</t>
        </is>
      </c>
      <c r="L919" t="inlineStr">
        <is>
          <t>0</t>
        </is>
      </c>
      <c r="M919" t="inlineStr">
        <is>
          <t>Padilla, Ignacio, 1968-2016.</t>
        </is>
      </c>
      <c r="N919" t="inlineStr">
        <is>
          <t>New York : Farrar, Straus and Giroux, 2003.</t>
        </is>
      </c>
      <c r="O919" t="inlineStr">
        <is>
          <t>2003</t>
        </is>
      </c>
      <c r="P919" t="inlineStr">
        <is>
          <t>1st American ed.</t>
        </is>
      </c>
      <c r="Q919" t="inlineStr">
        <is>
          <t>eng</t>
        </is>
      </c>
      <c r="R919" t="inlineStr">
        <is>
          <t>nyu</t>
        </is>
      </c>
      <c r="T919" t="inlineStr">
        <is>
          <t xml:space="preserve">PQ </t>
        </is>
      </c>
      <c r="U919" t="n">
        <v>1</v>
      </c>
      <c r="V919" t="n">
        <v>1</v>
      </c>
      <c r="W919" t="inlineStr">
        <is>
          <t>2003-07-24</t>
        </is>
      </c>
      <c r="X919" t="inlineStr">
        <is>
          <t>2003-07-24</t>
        </is>
      </c>
      <c r="Y919" t="inlineStr">
        <is>
          <t>2003-07-24</t>
        </is>
      </c>
      <c r="Z919" t="inlineStr">
        <is>
          <t>2003-07-24</t>
        </is>
      </c>
      <c r="AA919" t="n">
        <v>424</v>
      </c>
      <c r="AB919" t="n">
        <v>410</v>
      </c>
      <c r="AC919" t="n">
        <v>446</v>
      </c>
      <c r="AD919" t="n">
        <v>3</v>
      </c>
      <c r="AE919" t="n">
        <v>3</v>
      </c>
      <c r="AF919" t="n">
        <v>15</v>
      </c>
      <c r="AG919" t="n">
        <v>15</v>
      </c>
      <c r="AH919" t="n">
        <v>4</v>
      </c>
      <c r="AI919" t="n">
        <v>4</v>
      </c>
      <c r="AJ919" t="n">
        <v>6</v>
      </c>
      <c r="AK919" t="n">
        <v>6</v>
      </c>
      <c r="AL919" t="n">
        <v>7</v>
      </c>
      <c r="AM919" t="n">
        <v>7</v>
      </c>
      <c r="AN919" t="n">
        <v>2</v>
      </c>
      <c r="AO919" t="n">
        <v>2</v>
      </c>
      <c r="AP919" t="n">
        <v>0</v>
      </c>
      <c r="AQ919" t="n">
        <v>0</v>
      </c>
      <c r="AR919" t="inlineStr">
        <is>
          <t>No</t>
        </is>
      </c>
      <c r="AS919" t="inlineStr">
        <is>
          <t>No</t>
        </is>
      </c>
      <c r="AU919">
        <f>HYPERLINK("https://creighton-primo.hosted.exlibrisgroup.com/primo-explore/search?tab=default_tab&amp;search_scope=EVERYTHING&amp;vid=01CRU&amp;lang=en_US&amp;offset=0&amp;query=any,contains,991004079849702656","Catalog Record")</f>
        <v/>
      </c>
      <c r="AV919">
        <f>HYPERLINK("http://www.worldcat.org/oclc/50982408","WorldCat Record")</f>
        <v/>
      </c>
      <c r="AW919" t="inlineStr">
        <is>
          <t>676445:eng</t>
        </is>
      </c>
      <c r="AX919" t="inlineStr">
        <is>
          <t>50982408</t>
        </is>
      </c>
      <c r="AY919" t="inlineStr">
        <is>
          <t>991004079849702656</t>
        </is>
      </c>
      <c r="AZ919" t="inlineStr">
        <is>
          <t>991004079849702656</t>
        </is>
      </c>
      <c r="BA919" t="inlineStr">
        <is>
          <t>2267628970002656</t>
        </is>
      </c>
      <c r="BB919" t="inlineStr">
        <is>
          <t>BOOK</t>
        </is>
      </c>
      <c r="BD919" t="inlineStr">
        <is>
          <t>9780374261900</t>
        </is>
      </c>
      <c r="BE919" t="inlineStr">
        <is>
          <t>32285004756788</t>
        </is>
      </c>
      <c r="BF919" t="inlineStr">
        <is>
          <t>893882041</t>
        </is>
      </c>
    </row>
    <row r="920">
      <c r="A920" t="inlineStr">
        <is>
          <t>No</t>
        </is>
      </c>
      <c r="B920" t="inlineStr">
        <is>
          <t>CURAL</t>
        </is>
      </c>
      <c r="C920" t="inlineStr">
        <is>
          <t>SHELVES</t>
        </is>
      </c>
      <c r="D920" t="inlineStr">
        <is>
          <t>PQ7298.26.I8 A15 1998</t>
        </is>
      </c>
      <c r="E920" t="inlineStr">
        <is>
          <t>0                      PQ 7298260I  8                  A  15          1998</t>
        </is>
      </c>
      <c r="F920" t="inlineStr">
        <is>
          <t>Todos los cuentos de Sergio Pitol / Sergio Pitol.</t>
        </is>
      </c>
      <c r="H920" t="inlineStr">
        <is>
          <t>No</t>
        </is>
      </c>
      <c r="I920" t="inlineStr">
        <is>
          <t>1</t>
        </is>
      </c>
      <c r="J920" t="inlineStr">
        <is>
          <t>No</t>
        </is>
      </c>
      <c r="K920" t="inlineStr">
        <is>
          <t>No</t>
        </is>
      </c>
      <c r="L920" t="inlineStr">
        <is>
          <t>0</t>
        </is>
      </c>
      <c r="M920" t="inlineStr">
        <is>
          <t>Pitol, Sergio, 1933-2018.</t>
        </is>
      </c>
      <c r="N920" t="inlineStr">
        <is>
          <t>Mexico City : Alfaguara, 1998.</t>
        </is>
      </c>
      <c r="O920" t="inlineStr">
        <is>
          <t>1998</t>
        </is>
      </c>
      <c r="P920" t="inlineStr">
        <is>
          <t>1. ed. en Alfaguara</t>
        </is>
      </c>
      <c r="Q920" t="inlineStr">
        <is>
          <t>spa</t>
        </is>
      </c>
      <c r="R920" t="inlineStr">
        <is>
          <t xml:space="preserve">mx </t>
        </is>
      </c>
      <c r="T920" t="inlineStr">
        <is>
          <t xml:space="preserve">PQ </t>
        </is>
      </c>
      <c r="U920" t="n">
        <v>1</v>
      </c>
      <c r="V920" t="n">
        <v>1</v>
      </c>
      <c r="W920" t="inlineStr">
        <is>
          <t>2002-05-08</t>
        </is>
      </c>
      <c r="X920" t="inlineStr">
        <is>
          <t>2002-05-08</t>
        </is>
      </c>
      <c r="Y920" t="inlineStr">
        <is>
          <t>2002-04-30</t>
        </is>
      </c>
      <c r="Z920" t="inlineStr">
        <is>
          <t>2002-04-30</t>
        </is>
      </c>
      <c r="AA920" t="n">
        <v>98</v>
      </c>
      <c r="AB920" t="n">
        <v>82</v>
      </c>
      <c r="AC920" t="n">
        <v>83</v>
      </c>
      <c r="AD920" t="n">
        <v>1</v>
      </c>
      <c r="AE920" t="n">
        <v>1</v>
      </c>
      <c r="AF920" t="n">
        <v>2</v>
      </c>
      <c r="AG920" t="n">
        <v>2</v>
      </c>
      <c r="AH920" t="n">
        <v>0</v>
      </c>
      <c r="AI920" t="n">
        <v>0</v>
      </c>
      <c r="AJ920" t="n">
        <v>1</v>
      </c>
      <c r="AK920" t="n">
        <v>1</v>
      </c>
      <c r="AL920" t="n">
        <v>2</v>
      </c>
      <c r="AM920" t="n">
        <v>2</v>
      </c>
      <c r="AN920" t="n">
        <v>0</v>
      </c>
      <c r="AO920" t="n">
        <v>0</v>
      </c>
      <c r="AP920" t="n">
        <v>0</v>
      </c>
      <c r="AQ920" t="n">
        <v>0</v>
      </c>
      <c r="AR920" t="inlineStr">
        <is>
          <t>No</t>
        </is>
      </c>
      <c r="AS920" t="inlineStr">
        <is>
          <t>Yes</t>
        </is>
      </c>
      <c r="AT920">
        <f>HYPERLINK("http://catalog.hathitrust.org/Record/007148871","HathiTrust Record")</f>
        <v/>
      </c>
      <c r="AU920">
        <f>HYPERLINK("https://creighton-primo.hosted.exlibrisgroup.com/primo-explore/search?tab=default_tab&amp;search_scope=EVERYTHING&amp;vid=01CRU&amp;lang=en_US&amp;offset=0&amp;query=any,contains,991003772149702656","Catalog Record")</f>
        <v/>
      </c>
      <c r="AV920">
        <f>HYPERLINK("http://www.worldcat.org/oclc/41394249","WorldCat Record")</f>
        <v/>
      </c>
      <c r="AW920" t="inlineStr">
        <is>
          <t>147983819:spa</t>
        </is>
      </c>
      <c r="AX920" t="inlineStr">
        <is>
          <t>41394249</t>
        </is>
      </c>
      <c r="AY920" t="inlineStr">
        <is>
          <t>991003772149702656</t>
        </is>
      </c>
      <c r="AZ920" t="inlineStr">
        <is>
          <t>991003772149702656</t>
        </is>
      </c>
      <c r="BA920" t="inlineStr">
        <is>
          <t>2256573850002656</t>
        </is>
      </c>
      <c r="BB920" t="inlineStr">
        <is>
          <t>BOOK</t>
        </is>
      </c>
      <c r="BD920" t="inlineStr">
        <is>
          <t>9789681904982</t>
        </is>
      </c>
      <c r="BE920" t="inlineStr">
        <is>
          <t>32285004484704</t>
        </is>
      </c>
      <c r="BF920" t="inlineStr">
        <is>
          <t>893686940</t>
        </is>
      </c>
    </row>
    <row r="921">
      <c r="A921" t="inlineStr">
        <is>
          <t>No</t>
        </is>
      </c>
      <c r="B921" t="inlineStr">
        <is>
          <t>CURAL</t>
        </is>
      </c>
      <c r="C921" t="inlineStr">
        <is>
          <t>SHELVES</t>
        </is>
      </c>
      <c r="D921" t="inlineStr">
        <is>
          <t>PQ7298.26.I8 D65 1989</t>
        </is>
      </c>
      <c r="E921" t="inlineStr">
        <is>
          <t>0                      PQ 7298260I  8                  D  65          1989</t>
        </is>
      </c>
      <c r="F921" t="inlineStr">
        <is>
          <t>Domar a la divina garza / Sergio Pitol.</t>
        </is>
      </c>
      <c r="H921" t="inlineStr">
        <is>
          <t>No</t>
        </is>
      </c>
      <c r="I921" t="inlineStr">
        <is>
          <t>1</t>
        </is>
      </c>
      <c r="J921" t="inlineStr">
        <is>
          <t>No</t>
        </is>
      </c>
      <c r="K921" t="inlineStr">
        <is>
          <t>No</t>
        </is>
      </c>
      <c r="L921" t="inlineStr">
        <is>
          <t>0</t>
        </is>
      </c>
      <c r="M921" t="inlineStr">
        <is>
          <t>Pitol, Sergio, 1933-2018.</t>
        </is>
      </c>
      <c r="N921" t="inlineStr">
        <is>
          <t>México, D.F. : Ediciones Era, 1989.</t>
        </is>
      </c>
      <c r="O921" t="inlineStr">
        <is>
          <t>1989</t>
        </is>
      </c>
      <c r="P921" t="inlineStr">
        <is>
          <t>1. ed. en Biblioteca Era.</t>
        </is>
      </c>
      <c r="Q921" t="inlineStr">
        <is>
          <t>spa</t>
        </is>
      </c>
      <c r="R921" t="inlineStr">
        <is>
          <t xml:space="preserve">mx </t>
        </is>
      </c>
      <c r="S921" t="inlineStr">
        <is>
          <t>Biblioteca Era</t>
        </is>
      </c>
      <c r="T921" t="inlineStr">
        <is>
          <t xml:space="preserve">PQ </t>
        </is>
      </c>
      <c r="U921" t="n">
        <v>1</v>
      </c>
      <c r="V921" t="n">
        <v>1</v>
      </c>
      <c r="W921" t="inlineStr">
        <is>
          <t>2000-09-05</t>
        </is>
      </c>
      <c r="X921" t="inlineStr">
        <is>
          <t>2000-09-05</t>
        </is>
      </c>
      <c r="Y921" t="inlineStr">
        <is>
          <t>2000-09-05</t>
        </is>
      </c>
      <c r="Z921" t="inlineStr">
        <is>
          <t>2000-09-05</t>
        </is>
      </c>
      <c r="AA921" t="n">
        <v>59</v>
      </c>
      <c r="AB921" t="n">
        <v>48</v>
      </c>
      <c r="AC921" t="n">
        <v>147</v>
      </c>
      <c r="AD921" t="n">
        <v>1</v>
      </c>
      <c r="AE921" t="n">
        <v>2</v>
      </c>
      <c r="AF921" t="n">
        <v>3</v>
      </c>
      <c r="AG921" t="n">
        <v>6</v>
      </c>
      <c r="AH921" t="n">
        <v>1</v>
      </c>
      <c r="AI921" t="n">
        <v>1</v>
      </c>
      <c r="AJ921" t="n">
        <v>1</v>
      </c>
      <c r="AK921" t="n">
        <v>2</v>
      </c>
      <c r="AL921" t="n">
        <v>1</v>
      </c>
      <c r="AM921" t="n">
        <v>2</v>
      </c>
      <c r="AN921" t="n">
        <v>0</v>
      </c>
      <c r="AO921" t="n">
        <v>1</v>
      </c>
      <c r="AP921" t="n">
        <v>0</v>
      </c>
      <c r="AQ921" t="n">
        <v>0</v>
      </c>
      <c r="AR921" t="inlineStr">
        <is>
          <t>No</t>
        </is>
      </c>
      <c r="AS921" t="inlineStr">
        <is>
          <t>No</t>
        </is>
      </c>
      <c r="AU921">
        <f>HYPERLINK("https://creighton-primo.hosted.exlibrisgroup.com/primo-explore/search?tab=default_tab&amp;search_scope=EVERYTHING&amp;vid=01CRU&amp;lang=en_US&amp;offset=0&amp;query=any,contains,991003254519702656","Catalog Record")</f>
        <v/>
      </c>
      <c r="AV921">
        <f>HYPERLINK("http://www.worldcat.org/oclc/21478645","WorldCat Record")</f>
        <v/>
      </c>
      <c r="AW921" t="inlineStr">
        <is>
          <t>10141929148:spa</t>
        </is>
      </c>
      <c r="AX921" t="inlineStr">
        <is>
          <t>21478645</t>
        </is>
      </c>
      <c r="AY921" t="inlineStr">
        <is>
          <t>991003254519702656</t>
        </is>
      </c>
      <c r="AZ921" t="inlineStr">
        <is>
          <t>991003254519702656</t>
        </is>
      </c>
      <c r="BA921" t="inlineStr">
        <is>
          <t>2259497520002656</t>
        </is>
      </c>
      <c r="BB921" t="inlineStr">
        <is>
          <t>BOOK</t>
        </is>
      </c>
      <c r="BD921" t="inlineStr">
        <is>
          <t>9789684112827</t>
        </is>
      </c>
      <c r="BE921" t="inlineStr">
        <is>
          <t>32285003760088</t>
        </is>
      </c>
      <c r="BF921" t="inlineStr">
        <is>
          <t>893805572</t>
        </is>
      </c>
    </row>
    <row r="922">
      <c r="A922" t="inlineStr">
        <is>
          <t>No</t>
        </is>
      </c>
      <c r="B922" t="inlineStr">
        <is>
          <t>CURAL</t>
        </is>
      </c>
      <c r="C922" t="inlineStr">
        <is>
          <t>SHELVES</t>
        </is>
      </c>
      <c r="D922" t="inlineStr">
        <is>
          <t>PQ7298.26.I8 I5 1997</t>
        </is>
      </c>
      <c r="E922" t="inlineStr">
        <is>
          <t>0                      PQ 7298260I  8                  I  5           1997</t>
        </is>
      </c>
      <c r="F922" t="inlineStr">
        <is>
          <t>Infierno de todos / Sergio Pitol.</t>
        </is>
      </c>
      <c r="H922" t="inlineStr">
        <is>
          <t>No</t>
        </is>
      </c>
      <c r="I922" t="inlineStr">
        <is>
          <t>1</t>
        </is>
      </c>
      <c r="J922" t="inlineStr">
        <is>
          <t>No</t>
        </is>
      </c>
      <c r="K922" t="inlineStr">
        <is>
          <t>No</t>
        </is>
      </c>
      <c r="L922" t="inlineStr">
        <is>
          <t>0</t>
        </is>
      </c>
      <c r="M922" t="inlineStr">
        <is>
          <t>Pitol, Sergio, 1933-2018.</t>
        </is>
      </c>
      <c r="N922" t="inlineStr">
        <is>
          <t>Xalapa, México : Universidad Veracruzana, 1997.</t>
        </is>
      </c>
      <c r="O922" t="inlineStr">
        <is>
          <t>1997</t>
        </is>
      </c>
      <c r="Q922" t="inlineStr">
        <is>
          <t>spa</t>
        </is>
      </c>
      <c r="R922" t="inlineStr">
        <is>
          <t xml:space="preserve">mx </t>
        </is>
      </c>
      <c r="S922" t="inlineStr">
        <is>
          <t>Ficción</t>
        </is>
      </c>
      <c r="T922" t="inlineStr">
        <is>
          <t xml:space="preserve">PQ </t>
        </is>
      </c>
      <c r="U922" t="n">
        <v>2</v>
      </c>
      <c r="V922" t="n">
        <v>2</v>
      </c>
      <c r="W922" t="inlineStr">
        <is>
          <t>2000-09-05</t>
        </is>
      </c>
      <c r="X922" t="inlineStr">
        <is>
          <t>2000-09-05</t>
        </is>
      </c>
      <c r="Y922" t="inlineStr">
        <is>
          <t>2000-09-05</t>
        </is>
      </c>
      <c r="Z922" t="inlineStr">
        <is>
          <t>2000-09-05</t>
        </is>
      </c>
      <c r="AA922" t="n">
        <v>60</v>
      </c>
      <c r="AB922" t="n">
        <v>55</v>
      </c>
      <c r="AC922" t="n">
        <v>63</v>
      </c>
      <c r="AD922" t="n">
        <v>1</v>
      </c>
      <c r="AE922" t="n">
        <v>1</v>
      </c>
      <c r="AF922" t="n">
        <v>2</v>
      </c>
      <c r="AG922" t="n">
        <v>3</v>
      </c>
      <c r="AH922" t="n">
        <v>0</v>
      </c>
      <c r="AI922" t="n">
        <v>1</v>
      </c>
      <c r="AJ922" t="n">
        <v>1</v>
      </c>
      <c r="AK922" t="n">
        <v>1</v>
      </c>
      <c r="AL922" t="n">
        <v>2</v>
      </c>
      <c r="AM922" t="n">
        <v>3</v>
      </c>
      <c r="AN922" t="n">
        <v>0</v>
      </c>
      <c r="AO922" t="n">
        <v>0</v>
      </c>
      <c r="AP922" t="n">
        <v>0</v>
      </c>
      <c r="AQ922" t="n">
        <v>0</v>
      </c>
      <c r="AR922" t="inlineStr">
        <is>
          <t>No</t>
        </is>
      </c>
      <c r="AS922" t="inlineStr">
        <is>
          <t>Yes</t>
        </is>
      </c>
      <c r="AT922">
        <f>HYPERLINK("http://catalog.hathitrust.org/Record/004016357","HathiTrust Record")</f>
        <v/>
      </c>
      <c r="AU922">
        <f>HYPERLINK("https://creighton-primo.hosted.exlibrisgroup.com/primo-explore/search?tab=default_tab&amp;search_scope=EVERYTHING&amp;vid=01CRU&amp;lang=en_US&amp;offset=0&amp;query=any,contains,991003254549702656","Catalog Record")</f>
        <v/>
      </c>
      <c r="AV922">
        <f>HYPERLINK("http://www.worldcat.org/oclc/38417833","WorldCat Record")</f>
        <v/>
      </c>
      <c r="AW922" t="inlineStr">
        <is>
          <t>2301942:spa</t>
        </is>
      </c>
      <c r="AX922" t="inlineStr">
        <is>
          <t>38417833</t>
        </is>
      </c>
      <c r="AY922" t="inlineStr">
        <is>
          <t>991003254549702656</t>
        </is>
      </c>
      <c r="AZ922" t="inlineStr">
        <is>
          <t>991003254549702656</t>
        </is>
      </c>
      <c r="BA922" t="inlineStr">
        <is>
          <t>2263903910002656</t>
        </is>
      </c>
      <c r="BB922" t="inlineStr">
        <is>
          <t>BOOK</t>
        </is>
      </c>
      <c r="BD922" t="inlineStr">
        <is>
          <t>9789688344415</t>
        </is>
      </c>
      <c r="BE922" t="inlineStr">
        <is>
          <t>32285003760153</t>
        </is>
      </c>
      <c r="BF922" t="inlineStr">
        <is>
          <t>893874581</t>
        </is>
      </c>
    </row>
    <row r="923">
      <c r="A923" t="inlineStr">
        <is>
          <t>No</t>
        </is>
      </c>
      <c r="B923" t="inlineStr">
        <is>
          <t>CURAL</t>
        </is>
      </c>
      <c r="C923" t="inlineStr">
        <is>
          <t>SHELVES</t>
        </is>
      </c>
      <c r="D923" t="inlineStr">
        <is>
          <t>PQ7298.26.I8 P37 1998</t>
        </is>
      </c>
      <c r="E923" t="inlineStr">
        <is>
          <t>0                      PQ 7298260I  8                  P  37          1998</t>
        </is>
      </c>
      <c r="F923" t="inlineStr">
        <is>
          <t>Pasión por la trama / Sergio Pitol</t>
        </is>
      </c>
      <c r="H923" t="inlineStr">
        <is>
          <t>No</t>
        </is>
      </c>
      <c r="I923" t="inlineStr">
        <is>
          <t>1</t>
        </is>
      </c>
      <c r="J923" t="inlineStr">
        <is>
          <t>No</t>
        </is>
      </c>
      <c r="K923" t="inlineStr">
        <is>
          <t>No</t>
        </is>
      </c>
      <c r="L923" t="inlineStr">
        <is>
          <t>0</t>
        </is>
      </c>
      <c r="M923" t="inlineStr">
        <is>
          <t>Pitol, Sergio, 1933-2018.</t>
        </is>
      </c>
      <c r="N923" t="inlineStr">
        <is>
          <t>México, D.F. : Ediciones Era, 1998.</t>
        </is>
      </c>
      <c r="O923" t="inlineStr">
        <is>
          <t>1998</t>
        </is>
      </c>
      <c r="P923" t="inlineStr">
        <is>
          <t>1. ed.</t>
        </is>
      </c>
      <c r="Q923" t="inlineStr">
        <is>
          <t>spa</t>
        </is>
      </c>
      <c r="R923" t="inlineStr">
        <is>
          <t xml:space="preserve">sp </t>
        </is>
      </c>
      <c r="S923" t="inlineStr">
        <is>
          <t>Biblioteca Era</t>
        </is>
      </c>
      <c r="T923" t="inlineStr">
        <is>
          <t xml:space="preserve">PQ </t>
        </is>
      </c>
      <c r="U923" t="n">
        <v>1</v>
      </c>
      <c r="V923" t="n">
        <v>1</v>
      </c>
      <c r="W923" t="inlineStr">
        <is>
          <t>2000-09-05</t>
        </is>
      </c>
      <c r="X923" t="inlineStr">
        <is>
          <t>2000-09-05</t>
        </is>
      </c>
      <c r="Y923" t="inlineStr">
        <is>
          <t>2000-09-05</t>
        </is>
      </c>
      <c r="Z923" t="inlineStr">
        <is>
          <t>2000-09-05</t>
        </is>
      </c>
      <c r="AA923" t="n">
        <v>98</v>
      </c>
      <c r="AB923" t="n">
        <v>81</v>
      </c>
      <c r="AC923" t="n">
        <v>97</v>
      </c>
      <c r="AD923" t="n">
        <v>1</v>
      </c>
      <c r="AE923" t="n">
        <v>1</v>
      </c>
      <c r="AF923" t="n">
        <v>2</v>
      </c>
      <c r="AG923" t="n">
        <v>2</v>
      </c>
      <c r="AH923" t="n">
        <v>0</v>
      </c>
      <c r="AI923" t="n">
        <v>0</v>
      </c>
      <c r="AJ923" t="n">
        <v>1</v>
      </c>
      <c r="AK923" t="n">
        <v>1</v>
      </c>
      <c r="AL923" t="n">
        <v>2</v>
      </c>
      <c r="AM923" t="n">
        <v>2</v>
      </c>
      <c r="AN923" t="n">
        <v>0</v>
      </c>
      <c r="AO923" t="n">
        <v>0</v>
      </c>
      <c r="AP923" t="n">
        <v>0</v>
      </c>
      <c r="AQ923" t="n">
        <v>0</v>
      </c>
      <c r="AR923" t="inlineStr">
        <is>
          <t>No</t>
        </is>
      </c>
      <c r="AS923" t="inlineStr">
        <is>
          <t>Yes</t>
        </is>
      </c>
      <c r="AT923">
        <f>HYPERLINK("http://catalog.hathitrust.org/Record/004020090","HathiTrust Record")</f>
        <v/>
      </c>
      <c r="AU923">
        <f>HYPERLINK("https://creighton-primo.hosted.exlibrisgroup.com/primo-explore/search?tab=default_tab&amp;search_scope=EVERYTHING&amp;vid=01CRU&amp;lang=en_US&amp;offset=0&amp;query=any,contains,991003254589702656","Catalog Record")</f>
        <v/>
      </c>
      <c r="AV923">
        <f>HYPERLINK("http://www.worldcat.org/oclc/40986933","WorldCat Record")</f>
        <v/>
      </c>
      <c r="AW923" t="inlineStr">
        <is>
          <t>25877666:spa</t>
        </is>
      </c>
      <c r="AX923" t="inlineStr">
        <is>
          <t>40986933</t>
        </is>
      </c>
      <c r="AY923" t="inlineStr">
        <is>
          <t>991003254589702656</t>
        </is>
      </c>
      <c r="AZ923" t="inlineStr">
        <is>
          <t>991003254589702656</t>
        </is>
      </c>
      <c r="BA923" t="inlineStr">
        <is>
          <t>2268089170002656</t>
        </is>
      </c>
      <c r="BB923" t="inlineStr">
        <is>
          <t>BOOK</t>
        </is>
      </c>
      <c r="BD923" t="inlineStr">
        <is>
          <t>9789684114234</t>
        </is>
      </c>
      <c r="BE923" t="inlineStr">
        <is>
          <t>32285003760179</t>
        </is>
      </c>
      <c r="BF923" t="inlineStr">
        <is>
          <t>893258229</t>
        </is>
      </c>
    </row>
    <row r="924">
      <c r="A924" t="inlineStr">
        <is>
          <t>No</t>
        </is>
      </c>
      <c r="B924" t="inlineStr">
        <is>
          <t>CURAL</t>
        </is>
      </c>
      <c r="C924" t="inlineStr">
        <is>
          <t>SHELVES</t>
        </is>
      </c>
      <c r="D924" t="inlineStr">
        <is>
          <t>PQ7298.26.I8 V5 1990</t>
        </is>
      </c>
      <c r="E924" t="inlineStr">
        <is>
          <t>0                      PQ 7298260I  8                  V  5           1990</t>
        </is>
      </c>
      <c r="F924" t="inlineStr">
        <is>
          <t>La vida conyugal / Sergio Pitol.</t>
        </is>
      </c>
      <c r="H924" t="inlineStr">
        <is>
          <t>No</t>
        </is>
      </c>
      <c r="I924" t="inlineStr">
        <is>
          <t>1</t>
        </is>
      </c>
      <c r="J924" t="inlineStr">
        <is>
          <t>No</t>
        </is>
      </c>
      <c r="K924" t="inlineStr">
        <is>
          <t>No</t>
        </is>
      </c>
      <c r="L924" t="inlineStr">
        <is>
          <t>0</t>
        </is>
      </c>
      <c r="M924" t="inlineStr">
        <is>
          <t>Pitol, Sergio, 1933-2018.</t>
        </is>
      </c>
      <c r="N924" t="inlineStr">
        <is>
          <t>México, D.F. : Ediciones Era, 1990.</t>
        </is>
      </c>
      <c r="O924" t="inlineStr">
        <is>
          <t>1990</t>
        </is>
      </c>
      <c r="P924" t="inlineStr">
        <is>
          <t>1. ed.</t>
        </is>
      </c>
      <c r="Q924" t="inlineStr">
        <is>
          <t>spa</t>
        </is>
      </c>
      <c r="R924" t="inlineStr">
        <is>
          <t xml:space="preserve">mx </t>
        </is>
      </c>
      <c r="S924" t="inlineStr">
        <is>
          <t>Biblioteca Era ; 217/1</t>
        </is>
      </c>
      <c r="T924" t="inlineStr">
        <is>
          <t xml:space="preserve">PQ </t>
        </is>
      </c>
      <c r="U924" t="n">
        <v>1</v>
      </c>
      <c r="V924" t="n">
        <v>1</v>
      </c>
      <c r="W924" t="inlineStr">
        <is>
          <t>2000-09-20</t>
        </is>
      </c>
      <c r="X924" t="inlineStr">
        <is>
          <t>2000-09-20</t>
        </is>
      </c>
      <c r="Y924" t="inlineStr">
        <is>
          <t>2000-09-20</t>
        </is>
      </c>
      <c r="Z924" t="inlineStr">
        <is>
          <t>2000-09-20</t>
        </is>
      </c>
      <c r="AA924" t="n">
        <v>104</v>
      </c>
      <c r="AB924" t="n">
        <v>90</v>
      </c>
      <c r="AC924" t="n">
        <v>140</v>
      </c>
      <c r="AD924" t="n">
        <v>2</v>
      </c>
      <c r="AE924" t="n">
        <v>2</v>
      </c>
      <c r="AF924" t="n">
        <v>4</v>
      </c>
      <c r="AG924" t="n">
        <v>6</v>
      </c>
      <c r="AH924" t="n">
        <v>1</v>
      </c>
      <c r="AI924" t="n">
        <v>1</v>
      </c>
      <c r="AJ924" t="n">
        <v>1</v>
      </c>
      <c r="AK924" t="n">
        <v>2</v>
      </c>
      <c r="AL924" t="n">
        <v>1</v>
      </c>
      <c r="AM924" t="n">
        <v>3</v>
      </c>
      <c r="AN924" t="n">
        <v>1</v>
      </c>
      <c r="AO924" t="n">
        <v>1</v>
      </c>
      <c r="AP924" t="n">
        <v>0</v>
      </c>
      <c r="AQ924" t="n">
        <v>0</v>
      </c>
      <c r="AR924" t="inlineStr">
        <is>
          <t>No</t>
        </is>
      </c>
      <c r="AS924" t="inlineStr">
        <is>
          <t>No</t>
        </is>
      </c>
      <c r="AU924">
        <f>HYPERLINK("https://creighton-primo.hosted.exlibrisgroup.com/primo-explore/search?tab=default_tab&amp;search_scope=EVERYTHING&amp;vid=01CRU&amp;lang=en_US&amp;offset=0&amp;query=any,contains,991003254619702656","Catalog Record")</f>
        <v/>
      </c>
      <c r="AV924">
        <f>HYPERLINK("http://www.worldcat.org/oclc/23890963","WorldCat Record")</f>
        <v/>
      </c>
      <c r="AW924" t="inlineStr">
        <is>
          <t>350488202:spa</t>
        </is>
      </c>
      <c r="AX924" t="inlineStr">
        <is>
          <t>23890963</t>
        </is>
      </c>
      <c r="AY924" t="inlineStr">
        <is>
          <t>991003254619702656</t>
        </is>
      </c>
      <c r="AZ924" t="inlineStr">
        <is>
          <t>991003254619702656</t>
        </is>
      </c>
      <c r="BA924" t="inlineStr">
        <is>
          <t>2256829230002656</t>
        </is>
      </c>
      <c r="BB924" t="inlineStr">
        <is>
          <t>BOOK</t>
        </is>
      </c>
      <c r="BD924" t="inlineStr">
        <is>
          <t>9789684113343</t>
        </is>
      </c>
      <c r="BE924" t="inlineStr">
        <is>
          <t>32285003763546</t>
        </is>
      </c>
      <c r="BF924" t="inlineStr">
        <is>
          <t>893717472</t>
        </is>
      </c>
    </row>
    <row r="925">
      <c r="A925" t="inlineStr">
        <is>
          <t>No</t>
        </is>
      </c>
      <c r="B925" t="inlineStr">
        <is>
          <t>CURAL</t>
        </is>
      </c>
      <c r="C925" t="inlineStr">
        <is>
          <t>SHELVES</t>
        </is>
      </c>
      <c r="D925" t="inlineStr">
        <is>
          <t>PQ7298.26.I8 Z85 2000</t>
        </is>
      </c>
      <c r="E925" t="inlineStr">
        <is>
          <t>0                      PQ 7298260I  8                  Z  85          2000</t>
        </is>
      </c>
      <c r="F925" t="inlineStr">
        <is>
          <t>Sergio Pitol : los territorios del viajero / José Balza ... [et al.].</t>
        </is>
      </c>
      <c r="H925" t="inlineStr">
        <is>
          <t>No</t>
        </is>
      </c>
      <c r="I925" t="inlineStr">
        <is>
          <t>1</t>
        </is>
      </c>
      <c r="J925" t="inlineStr">
        <is>
          <t>No</t>
        </is>
      </c>
      <c r="K925" t="inlineStr">
        <is>
          <t>No</t>
        </is>
      </c>
      <c r="L925" t="inlineStr">
        <is>
          <t>0</t>
        </is>
      </c>
      <c r="N925" t="inlineStr">
        <is>
          <t>México, D.F. : Ediciones Era, 2000.</t>
        </is>
      </c>
      <c r="O925" t="inlineStr">
        <is>
          <t>2000</t>
        </is>
      </c>
      <c r="P925" t="inlineStr">
        <is>
          <t>1. ed.</t>
        </is>
      </c>
      <c r="Q925" t="inlineStr">
        <is>
          <t>spa</t>
        </is>
      </c>
      <c r="R925" t="inlineStr">
        <is>
          <t xml:space="preserve">mx </t>
        </is>
      </c>
      <c r="S925" t="inlineStr">
        <is>
          <t>Biblioteca Era</t>
        </is>
      </c>
      <c r="T925" t="inlineStr">
        <is>
          <t xml:space="preserve">PQ </t>
        </is>
      </c>
      <c r="U925" t="n">
        <v>1</v>
      </c>
      <c r="V925" t="n">
        <v>1</v>
      </c>
      <c r="W925" t="inlineStr">
        <is>
          <t>2002-12-05</t>
        </is>
      </c>
      <c r="X925" t="inlineStr">
        <is>
          <t>2002-12-05</t>
        </is>
      </c>
      <c r="Y925" t="inlineStr">
        <is>
          <t>2002-12-05</t>
        </is>
      </c>
      <c r="Z925" t="inlineStr">
        <is>
          <t>2002-12-05</t>
        </is>
      </c>
      <c r="AA925" t="n">
        <v>74</v>
      </c>
      <c r="AB925" t="n">
        <v>63</v>
      </c>
      <c r="AC925" t="n">
        <v>65</v>
      </c>
      <c r="AD925" t="n">
        <v>1</v>
      </c>
      <c r="AE925" t="n">
        <v>1</v>
      </c>
      <c r="AF925" t="n">
        <v>2</v>
      </c>
      <c r="AG925" t="n">
        <v>2</v>
      </c>
      <c r="AH925" t="n">
        <v>0</v>
      </c>
      <c r="AI925" t="n">
        <v>0</v>
      </c>
      <c r="AJ925" t="n">
        <v>2</v>
      </c>
      <c r="AK925" t="n">
        <v>2</v>
      </c>
      <c r="AL925" t="n">
        <v>1</v>
      </c>
      <c r="AM925" t="n">
        <v>1</v>
      </c>
      <c r="AN925" t="n">
        <v>0</v>
      </c>
      <c r="AO925" t="n">
        <v>0</v>
      </c>
      <c r="AP925" t="n">
        <v>0</v>
      </c>
      <c r="AQ925" t="n">
        <v>0</v>
      </c>
      <c r="AR925" t="inlineStr">
        <is>
          <t>No</t>
        </is>
      </c>
      <c r="AS925" t="inlineStr">
        <is>
          <t>Yes</t>
        </is>
      </c>
      <c r="AT925">
        <f>HYPERLINK("http://catalog.hathitrust.org/Record/004246326","HathiTrust Record")</f>
        <v/>
      </c>
      <c r="AU925">
        <f>HYPERLINK("https://creighton-primo.hosted.exlibrisgroup.com/primo-explore/search?tab=default_tab&amp;search_scope=EVERYTHING&amp;vid=01CRU&amp;lang=en_US&amp;offset=0&amp;query=any,contains,991003926339702656","Catalog Record")</f>
        <v/>
      </c>
      <c r="AV925">
        <f>HYPERLINK("http://www.worldcat.org/oclc/57751428","WorldCat Record")</f>
        <v/>
      </c>
      <c r="AW925" t="inlineStr">
        <is>
          <t>18356387:spa</t>
        </is>
      </c>
      <c r="AX925" t="inlineStr">
        <is>
          <t>57751428</t>
        </is>
      </c>
      <c r="AY925" t="inlineStr">
        <is>
          <t>991003926339702656</t>
        </is>
      </c>
      <c r="AZ925" t="inlineStr">
        <is>
          <t>991003926339702656</t>
        </is>
      </c>
      <c r="BA925" t="inlineStr">
        <is>
          <t>2269809150002656</t>
        </is>
      </c>
      <c r="BB925" t="inlineStr">
        <is>
          <t>BOOK</t>
        </is>
      </c>
      <c r="BD925" t="inlineStr">
        <is>
          <t>9789684114890</t>
        </is>
      </c>
      <c r="BE925" t="inlineStr">
        <is>
          <t>32285004668744</t>
        </is>
      </c>
      <c r="BF925" t="inlineStr">
        <is>
          <t>893788070</t>
        </is>
      </c>
    </row>
    <row r="926">
      <c r="A926" t="inlineStr">
        <is>
          <t>No</t>
        </is>
      </c>
      <c r="B926" t="inlineStr">
        <is>
          <t>CURAL</t>
        </is>
      </c>
      <c r="C926" t="inlineStr">
        <is>
          <t>SHELVES</t>
        </is>
      </c>
      <c r="D926" t="inlineStr">
        <is>
          <t>PQ7298.28.O88 Z54 1997</t>
        </is>
      </c>
      <c r="E926" t="inlineStr">
        <is>
          <t>0                      PQ 7298280O  88                 Z  54          1997</t>
        </is>
      </c>
      <c r="F926" t="inlineStr">
        <is>
          <t>Alejandro Rossi ante la crítica / Luis Miguel Aguilar ... [et al.] ; selección, prólogo y notas, Adolfo Castañón.</t>
        </is>
      </c>
      <c r="H926" t="inlineStr">
        <is>
          <t>No</t>
        </is>
      </c>
      <c r="I926" t="inlineStr">
        <is>
          <t>1</t>
        </is>
      </c>
      <c r="J926" t="inlineStr">
        <is>
          <t>No</t>
        </is>
      </c>
      <c r="K926" t="inlineStr">
        <is>
          <t>No</t>
        </is>
      </c>
      <c r="L926" t="inlineStr">
        <is>
          <t>0</t>
        </is>
      </c>
      <c r="N926" t="inlineStr">
        <is>
          <t>Caracas, Venezuela : Monte Avila Editores Latinoamericana, 1997.</t>
        </is>
      </c>
      <c r="O926" t="inlineStr">
        <is>
          <t>1997</t>
        </is>
      </c>
      <c r="P926" t="inlineStr">
        <is>
          <t>1a ed.</t>
        </is>
      </c>
      <c r="Q926" t="inlineStr">
        <is>
          <t>spa</t>
        </is>
      </c>
      <c r="R926" t="inlineStr">
        <is>
          <t xml:space="preserve">ve </t>
        </is>
      </c>
      <c r="S926" t="inlineStr">
        <is>
          <t>Ante la crítica</t>
        </is>
      </c>
      <c r="T926" t="inlineStr">
        <is>
          <t xml:space="preserve">PQ </t>
        </is>
      </c>
      <c r="U926" t="n">
        <v>1</v>
      </c>
      <c r="V926" t="n">
        <v>1</v>
      </c>
      <c r="W926" t="inlineStr">
        <is>
          <t>2004-08-05</t>
        </is>
      </c>
      <c r="X926" t="inlineStr">
        <is>
          <t>2004-08-05</t>
        </is>
      </c>
      <c r="Y926" t="inlineStr">
        <is>
          <t>2004-08-05</t>
        </is>
      </c>
      <c r="Z926" t="inlineStr">
        <is>
          <t>2004-08-05</t>
        </is>
      </c>
      <c r="AA926" t="n">
        <v>46</v>
      </c>
      <c r="AB926" t="n">
        <v>39</v>
      </c>
      <c r="AC926" t="n">
        <v>41</v>
      </c>
      <c r="AD926" t="n">
        <v>1</v>
      </c>
      <c r="AE926" t="n">
        <v>1</v>
      </c>
      <c r="AF926" t="n">
        <v>0</v>
      </c>
      <c r="AG926" t="n">
        <v>0</v>
      </c>
      <c r="AH926" t="n">
        <v>0</v>
      </c>
      <c r="AI926" t="n">
        <v>0</v>
      </c>
      <c r="AJ926" t="n">
        <v>0</v>
      </c>
      <c r="AK926" t="n">
        <v>0</v>
      </c>
      <c r="AL926" t="n">
        <v>0</v>
      </c>
      <c r="AM926" t="n">
        <v>0</v>
      </c>
      <c r="AN926" t="n">
        <v>0</v>
      </c>
      <c r="AO926" t="n">
        <v>0</v>
      </c>
      <c r="AP926" t="n">
        <v>0</v>
      </c>
      <c r="AQ926" t="n">
        <v>0</v>
      </c>
      <c r="AR926" t="inlineStr">
        <is>
          <t>No</t>
        </is>
      </c>
      <c r="AS926" t="inlineStr">
        <is>
          <t>Yes</t>
        </is>
      </c>
      <c r="AT926">
        <f>HYPERLINK("http://catalog.hathitrust.org/Record/101101723","HathiTrust Record")</f>
        <v/>
      </c>
      <c r="AU926">
        <f>HYPERLINK("https://creighton-primo.hosted.exlibrisgroup.com/primo-explore/search?tab=default_tab&amp;search_scope=EVERYTHING&amp;vid=01CRU&amp;lang=en_US&amp;offset=0&amp;query=any,contains,991004339319702656","Catalog Record")</f>
        <v/>
      </c>
      <c r="AV926">
        <f>HYPERLINK("http://www.worldcat.org/oclc/37527871","WorldCat Record")</f>
        <v/>
      </c>
      <c r="AW926" t="inlineStr">
        <is>
          <t>45080375:spa</t>
        </is>
      </c>
      <c r="AX926" t="inlineStr">
        <is>
          <t>37527871</t>
        </is>
      </c>
      <c r="AY926" t="inlineStr">
        <is>
          <t>991004339319702656</t>
        </is>
      </c>
      <c r="AZ926" t="inlineStr">
        <is>
          <t>991004339319702656</t>
        </is>
      </c>
      <c r="BA926" t="inlineStr">
        <is>
          <t>2265090030002656</t>
        </is>
      </c>
      <c r="BB926" t="inlineStr">
        <is>
          <t>BOOK</t>
        </is>
      </c>
      <c r="BD926" t="inlineStr">
        <is>
          <t>9789800109670</t>
        </is>
      </c>
      <c r="BE926" t="inlineStr">
        <is>
          <t>32285004929336</t>
        </is>
      </c>
      <c r="BF926" t="inlineStr">
        <is>
          <t>893525977</t>
        </is>
      </c>
    </row>
    <row r="927">
      <c r="A927" t="inlineStr">
        <is>
          <t>No</t>
        </is>
      </c>
      <c r="B927" t="inlineStr">
        <is>
          <t>CURAL</t>
        </is>
      </c>
      <c r="C927" t="inlineStr">
        <is>
          <t>SHELVES</t>
        </is>
      </c>
      <c r="D927" t="inlineStr">
        <is>
          <t>PQ7298.29.A35 C6 1977</t>
        </is>
      </c>
      <c r="E927" t="inlineStr">
        <is>
          <t>0                      PQ 7298290A  35                 C  6           1977</t>
        </is>
      </c>
      <c r="F927" t="inlineStr">
        <is>
          <t>Compadre lobo / Gustavo Sainz.</t>
        </is>
      </c>
      <c r="H927" t="inlineStr">
        <is>
          <t>No</t>
        </is>
      </c>
      <c r="I927" t="inlineStr">
        <is>
          <t>1</t>
        </is>
      </c>
      <c r="J927" t="inlineStr">
        <is>
          <t>No</t>
        </is>
      </c>
      <c r="K927" t="inlineStr">
        <is>
          <t>No</t>
        </is>
      </c>
      <c r="L927" t="inlineStr">
        <is>
          <t>0</t>
        </is>
      </c>
      <c r="M927" t="inlineStr">
        <is>
          <t>Sáinz, Gustavo, 1940-</t>
        </is>
      </c>
      <c r="N927" t="inlineStr">
        <is>
          <t>México : Editorial Grijalbo, 1978, c1977.</t>
        </is>
      </c>
      <c r="O927" t="inlineStr">
        <is>
          <t>1977</t>
        </is>
      </c>
      <c r="P927" t="inlineStr">
        <is>
          <t>6a. ed.</t>
        </is>
      </c>
      <c r="Q927" t="inlineStr">
        <is>
          <t>spa</t>
        </is>
      </c>
      <c r="R927" t="inlineStr">
        <is>
          <t xml:space="preserve">mx </t>
        </is>
      </c>
      <c r="S927" t="inlineStr">
        <is>
          <t>Best sellers</t>
        </is>
      </c>
      <c r="T927" t="inlineStr">
        <is>
          <t xml:space="preserve">PQ </t>
        </is>
      </c>
      <c r="U927" t="n">
        <v>1</v>
      </c>
      <c r="V927" t="n">
        <v>1</v>
      </c>
      <c r="W927" t="inlineStr">
        <is>
          <t>2005-03-23</t>
        </is>
      </c>
      <c r="X927" t="inlineStr">
        <is>
          <t>2005-03-23</t>
        </is>
      </c>
      <c r="Y927" t="inlineStr">
        <is>
          <t>2005-03-23</t>
        </is>
      </c>
      <c r="Z927" t="inlineStr">
        <is>
          <t>2005-03-23</t>
        </is>
      </c>
      <c r="AA927" t="n">
        <v>90</v>
      </c>
      <c r="AB927" t="n">
        <v>80</v>
      </c>
      <c r="AC927" t="n">
        <v>156</v>
      </c>
      <c r="AD927" t="n">
        <v>1</v>
      </c>
      <c r="AE927" t="n">
        <v>1</v>
      </c>
      <c r="AF927" t="n">
        <v>1</v>
      </c>
      <c r="AG927" t="n">
        <v>3</v>
      </c>
      <c r="AH927" t="n">
        <v>0</v>
      </c>
      <c r="AI927" t="n">
        <v>1</v>
      </c>
      <c r="AJ927" t="n">
        <v>0</v>
      </c>
      <c r="AK927" t="n">
        <v>1</v>
      </c>
      <c r="AL927" t="n">
        <v>1</v>
      </c>
      <c r="AM927" t="n">
        <v>2</v>
      </c>
      <c r="AN927" t="n">
        <v>0</v>
      </c>
      <c r="AO927" t="n">
        <v>0</v>
      </c>
      <c r="AP927" t="n">
        <v>0</v>
      </c>
      <c r="AQ927" t="n">
        <v>0</v>
      </c>
      <c r="AR927" t="inlineStr">
        <is>
          <t>No</t>
        </is>
      </c>
      <c r="AS927" t="inlineStr">
        <is>
          <t>Yes</t>
        </is>
      </c>
      <c r="AT927">
        <f>HYPERLINK("http://catalog.hathitrust.org/Record/007875753","HathiTrust Record")</f>
        <v/>
      </c>
      <c r="AU927">
        <f>HYPERLINK("https://creighton-primo.hosted.exlibrisgroup.com/primo-explore/search?tab=default_tab&amp;search_scope=EVERYTHING&amp;vid=01CRU&amp;lang=en_US&amp;offset=0&amp;query=any,contains,991004509379702656","Catalog Record")</f>
        <v/>
      </c>
      <c r="AV927">
        <f>HYPERLINK("http://www.worldcat.org/oclc/4030320","WorldCat Record")</f>
        <v/>
      </c>
      <c r="AW927" t="inlineStr">
        <is>
          <t>2674286:spa</t>
        </is>
      </c>
      <c r="AX927" t="inlineStr">
        <is>
          <t>4030320</t>
        </is>
      </c>
      <c r="AY927" t="inlineStr">
        <is>
          <t>991004509379702656</t>
        </is>
      </c>
      <c r="AZ927" t="inlineStr">
        <is>
          <t>991004509379702656</t>
        </is>
      </c>
      <c r="BA927" t="inlineStr">
        <is>
          <t>2258568700002656</t>
        </is>
      </c>
      <c r="BB927" t="inlineStr">
        <is>
          <t>BOOK</t>
        </is>
      </c>
      <c r="BD927" t="inlineStr">
        <is>
          <t>9789684190214</t>
        </is>
      </c>
      <c r="BE927" t="inlineStr">
        <is>
          <t>32285005044408</t>
        </is>
      </c>
      <c r="BF927" t="inlineStr">
        <is>
          <t>893343921</t>
        </is>
      </c>
    </row>
    <row r="928">
      <c r="A928" t="inlineStr">
        <is>
          <t>No</t>
        </is>
      </c>
      <c r="B928" t="inlineStr">
        <is>
          <t>CURAL</t>
        </is>
      </c>
      <c r="C928" t="inlineStr">
        <is>
          <t>SHELVES</t>
        </is>
      </c>
      <c r="D928" t="inlineStr">
        <is>
          <t>PQ7298.32.I494 P67 1997</t>
        </is>
      </c>
      <c r="E928" t="inlineStr">
        <is>
          <t>0                      PQ 7298320I  494                P  67          1997</t>
        </is>
      </c>
      <c r="F928" t="inlineStr">
        <is>
          <t>Portuaria / José Javier Villarreal.</t>
        </is>
      </c>
      <c r="H928" t="inlineStr">
        <is>
          <t>No</t>
        </is>
      </c>
      <c r="I928" t="inlineStr">
        <is>
          <t>1</t>
        </is>
      </c>
      <c r="J928" t="inlineStr">
        <is>
          <t>No</t>
        </is>
      </c>
      <c r="K928" t="inlineStr">
        <is>
          <t>No</t>
        </is>
      </c>
      <c r="L928" t="inlineStr">
        <is>
          <t>0</t>
        </is>
      </c>
      <c r="M928" t="inlineStr">
        <is>
          <t>Villarreal, José Javier.</t>
        </is>
      </c>
      <c r="N928" t="inlineStr">
        <is>
          <t>México, D.F. : Ediciones Era, 1997.</t>
        </is>
      </c>
      <c r="O928" t="inlineStr">
        <is>
          <t>1997</t>
        </is>
      </c>
      <c r="P928" t="inlineStr">
        <is>
          <t>1. ed.</t>
        </is>
      </c>
      <c r="Q928" t="inlineStr">
        <is>
          <t>spa</t>
        </is>
      </c>
      <c r="R928" t="inlineStr">
        <is>
          <t xml:space="preserve">mx </t>
        </is>
      </c>
      <c r="S928" t="inlineStr">
        <is>
          <t>Biblioteca Era</t>
        </is>
      </c>
      <c r="T928" t="inlineStr">
        <is>
          <t xml:space="preserve">PQ </t>
        </is>
      </c>
      <c r="U928" t="n">
        <v>1</v>
      </c>
      <c r="V928" t="n">
        <v>1</v>
      </c>
      <c r="W928" t="inlineStr">
        <is>
          <t>2002-12-05</t>
        </is>
      </c>
      <c r="X928" t="inlineStr">
        <is>
          <t>2002-12-05</t>
        </is>
      </c>
      <c r="Y928" t="inlineStr">
        <is>
          <t>2002-12-05</t>
        </is>
      </c>
      <c r="Z928" t="inlineStr">
        <is>
          <t>2002-12-05</t>
        </is>
      </c>
      <c r="AA928" t="n">
        <v>57</v>
      </c>
      <c r="AB928" t="n">
        <v>51</v>
      </c>
      <c r="AC928" t="n">
        <v>62</v>
      </c>
      <c r="AD928" t="n">
        <v>1</v>
      </c>
      <c r="AE928" t="n">
        <v>1</v>
      </c>
      <c r="AF928" t="n">
        <v>1</v>
      </c>
      <c r="AG928" t="n">
        <v>1</v>
      </c>
      <c r="AH928" t="n">
        <v>0</v>
      </c>
      <c r="AI928" t="n">
        <v>0</v>
      </c>
      <c r="AJ928" t="n">
        <v>1</v>
      </c>
      <c r="AK928" t="n">
        <v>1</v>
      </c>
      <c r="AL928" t="n">
        <v>0</v>
      </c>
      <c r="AM928" t="n">
        <v>0</v>
      </c>
      <c r="AN928" t="n">
        <v>0</v>
      </c>
      <c r="AO928" t="n">
        <v>0</v>
      </c>
      <c r="AP928" t="n">
        <v>0</v>
      </c>
      <c r="AQ928" t="n">
        <v>0</v>
      </c>
      <c r="AR928" t="inlineStr">
        <is>
          <t>No</t>
        </is>
      </c>
      <c r="AS928" t="inlineStr">
        <is>
          <t>Yes</t>
        </is>
      </c>
      <c r="AT928">
        <f>HYPERLINK("http://catalog.hathitrust.org/Record/003298107","HathiTrust Record")</f>
        <v/>
      </c>
      <c r="AU928">
        <f>HYPERLINK("https://creighton-primo.hosted.exlibrisgroup.com/primo-explore/search?tab=default_tab&amp;search_scope=EVERYTHING&amp;vid=01CRU&amp;lang=en_US&amp;offset=0&amp;query=any,contains,991003926129702656","Catalog Record")</f>
        <v/>
      </c>
      <c r="AV928">
        <f>HYPERLINK("http://www.worldcat.org/oclc/37926811","WorldCat Record")</f>
        <v/>
      </c>
      <c r="AW928" t="inlineStr">
        <is>
          <t>33528241:spa</t>
        </is>
      </c>
      <c r="AX928" t="inlineStr">
        <is>
          <t>37926811</t>
        </is>
      </c>
      <c r="AY928" t="inlineStr">
        <is>
          <t>991003926129702656</t>
        </is>
      </c>
      <c r="AZ928" t="inlineStr">
        <is>
          <t>991003926129702656</t>
        </is>
      </c>
      <c r="BA928" t="inlineStr">
        <is>
          <t>2269100550002656</t>
        </is>
      </c>
      <c r="BB928" t="inlineStr">
        <is>
          <t>BOOK</t>
        </is>
      </c>
      <c r="BD928" t="inlineStr">
        <is>
          <t>9789684114043</t>
        </is>
      </c>
      <c r="BE928" t="inlineStr">
        <is>
          <t>32285004668710</t>
        </is>
      </c>
      <c r="BF928" t="inlineStr">
        <is>
          <t>893441962</t>
        </is>
      </c>
    </row>
    <row r="929">
      <c r="A929" t="inlineStr">
        <is>
          <t>No</t>
        </is>
      </c>
      <c r="B929" t="inlineStr">
        <is>
          <t>CURAL</t>
        </is>
      </c>
      <c r="C929" t="inlineStr">
        <is>
          <t>SHELVES</t>
        </is>
      </c>
      <c r="D929" t="inlineStr">
        <is>
          <t>PQ7298.32.I523 L8 1995</t>
        </is>
      </c>
      <c r="E929" t="inlineStr">
        <is>
          <t>0                      PQ 7298320I  523                L  8           1995</t>
        </is>
      </c>
      <c r="F929" t="inlineStr">
        <is>
          <t>La luz oblicua : novela / Paloma Villegas.</t>
        </is>
      </c>
      <c r="H929" t="inlineStr">
        <is>
          <t>No</t>
        </is>
      </c>
      <c r="I929" t="inlineStr">
        <is>
          <t>1</t>
        </is>
      </c>
      <c r="J929" t="inlineStr">
        <is>
          <t>No</t>
        </is>
      </c>
      <c r="K929" t="inlineStr">
        <is>
          <t>No</t>
        </is>
      </c>
      <c r="L929" t="inlineStr">
        <is>
          <t>0</t>
        </is>
      </c>
      <c r="M929" t="inlineStr">
        <is>
          <t>Villegas, Paloma.</t>
        </is>
      </c>
      <c r="N929" t="inlineStr">
        <is>
          <t>México, D.F. : Ediciones Era, 1995.</t>
        </is>
      </c>
      <c r="O929" t="inlineStr">
        <is>
          <t>1995</t>
        </is>
      </c>
      <c r="P929" t="inlineStr">
        <is>
          <t>1. ed.</t>
        </is>
      </c>
      <c r="Q929" t="inlineStr">
        <is>
          <t>spa</t>
        </is>
      </c>
      <c r="R929" t="inlineStr">
        <is>
          <t xml:space="preserve">mx </t>
        </is>
      </c>
      <c r="S929" t="inlineStr">
        <is>
          <t>Biblioteca Era</t>
        </is>
      </c>
      <c r="T929" t="inlineStr">
        <is>
          <t xml:space="preserve">PQ </t>
        </is>
      </c>
      <c r="U929" t="n">
        <v>1</v>
      </c>
      <c r="V929" t="n">
        <v>1</v>
      </c>
      <c r="W929" t="inlineStr">
        <is>
          <t>2002-12-05</t>
        </is>
      </c>
      <c r="X929" t="inlineStr">
        <is>
          <t>2002-12-05</t>
        </is>
      </c>
      <c r="Y929" t="inlineStr">
        <is>
          <t>2002-12-05</t>
        </is>
      </c>
      <c r="Z929" t="inlineStr">
        <is>
          <t>2002-12-05</t>
        </is>
      </c>
      <c r="AA929" t="n">
        <v>84</v>
      </c>
      <c r="AB929" t="n">
        <v>72</v>
      </c>
      <c r="AC929" t="n">
        <v>87</v>
      </c>
      <c r="AD929" t="n">
        <v>2</v>
      </c>
      <c r="AE929" t="n">
        <v>2</v>
      </c>
      <c r="AF929" t="n">
        <v>3</v>
      </c>
      <c r="AG929" t="n">
        <v>3</v>
      </c>
      <c r="AH929" t="n">
        <v>0</v>
      </c>
      <c r="AI929" t="n">
        <v>0</v>
      </c>
      <c r="AJ929" t="n">
        <v>2</v>
      </c>
      <c r="AK929" t="n">
        <v>2</v>
      </c>
      <c r="AL929" t="n">
        <v>0</v>
      </c>
      <c r="AM929" t="n">
        <v>0</v>
      </c>
      <c r="AN929" t="n">
        <v>1</v>
      </c>
      <c r="AO929" t="n">
        <v>1</v>
      </c>
      <c r="AP929" t="n">
        <v>0</v>
      </c>
      <c r="AQ929" t="n">
        <v>0</v>
      </c>
      <c r="AR929" t="inlineStr">
        <is>
          <t>No</t>
        </is>
      </c>
      <c r="AS929" t="inlineStr">
        <is>
          <t>Yes</t>
        </is>
      </c>
      <c r="AT929">
        <f>HYPERLINK("http://catalog.hathitrust.org/Record/007148820","HathiTrust Record")</f>
        <v/>
      </c>
      <c r="AU929">
        <f>HYPERLINK("https://creighton-primo.hosted.exlibrisgroup.com/primo-explore/search?tab=default_tab&amp;search_scope=EVERYTHING&amp;vid=01CRU&amp;lang=en_US&amp;offset=0&amp;query=any,contains,991003926439702656","Catalog Record")</f>
        <v/>
      </c>
      <c r="AV929">
        <f>HYPERLINK("http://www.worldcat.org/oclc/32916541","WorldCat Record")</f>
        <v/>
      </c>
      <c r="AW929" t="inlineStr">
        <is>
          <t>37482186:spa</t>
        </is>
      </c>
      <c r="AX929" t="inlineStr">
        <is>
          <t>32916541</t>
        </is>
      </c>
      <c r="AY929" t="inlineStr">
        <is>
          <t>991003926439702656</t>
        </is>
      </c>
      <c r="AZ929" t="inlineStr">
        <is>
          <t>991003926439702656</t>
        </is>
      </c>
      <c r="BA929" t="inlineStr">
        <is>
          <t>2260384820002656</t>
        </is>
      </c>
      <c r="BB929" t="inlineStr">
        <is>
          <t>BOOK</t>
        </is>
      </c>
      <c r="BD929" t="inlineStr">
        <is>
          <t>9789684113695</t>
        </is>
      </c>
      <c r="BE929" t="inlineStr">
        <is>
          <t>32285004668801</t>
        </is>
      </c>
      <c r="BF929" t="inlineStr">
        <is>
          <t>893900573</t>
        </is>
      </c>
    </row>
    <row r="930">
      <c r="A930" t="inlineStr">
        <is>
          <t>No</t>
        </is>
      </c>
      <c r="B930" t="inlineStr">
        <is>
          <t>CURAL</t>
        </is>
      </c>
      <c r="C930" t="inlineStr">
        <is>
          <t>SHELVES</t>
        </is>
      </c>
      <c r="D930" t="inlineStr">
        <is>
          <t>PQ7298.32.I55 E43 2000</t>
        </is>
      </c>
      <c r="E930" t="inlineStr">
        <is>
          <t>0                      PQ 7298320I  55                 E  43          2000</t>
        </is>
      </c>
      <c r="F930" t="inlineStr">
        <is>
          <t>Efectos personales / Juan Villoro.</t>
        </is>
      </c>
      <c r="H930" t="inlineStr">
        <is>
          <t>No</t>
        </is>
      </c>
      <c r="I930" t="inlineStr">
        <is>
          <t>1</t>
        </is>
      </c>
      <c r="J930" t="inlineStr">
        <is>
          <t>No</t>
        </is>
      </c>
      <c r="K930" t="inlineStr">
        <is>
          <t>No</t>
        </is>
      </c>
      <c r="L930" t="inlineStr">
        <is>
          <t>0</t>
        </is>
      </c>
      <c r="M930" t="inlineStr">
        <is>
          <t>Villoro, Juan, 1956-</t>
        </is>
      </c>
      <c r="N930" t="inlineStr">
        <is>
          <t>México, D.F. : Ediciones Era, 2000.</t>
        </is>
      </c>
      <c r="O930" t="inlineStr">
        <is>
          <t>2000</t>
        </is>
      </c>
      <c r="P930" t="inlineStr">
        <is>
          <t>1. ed.</t>
        </is>
      </c>
      <c r="Q930" t="inlineStr">
        <is>
          <t>spa</t>
        </is>
      </c>
      <c r="R930" t="inlineStr">
        <is>
          <t xml:space="preserve">mx </t>
        </is>
      </c>
      <c r="S930" t="inlineStr">
        <is>
          <t>Biblioteca Era</t>
        </is>
      </c>
      <c r="T930" t="inlineStr">
        <is>
          <t xml:space="preserve">PQ </t>
        </is>
      </c>
      <c r="U930" t="n">
        <v>1</v>
      </c>
      <c r="V930" t="n">
        <v>1</v>
      </c>
      <c r="W930" t="inlineStr">
        <is>
          <t>2002-12-05</t>
        </is>
      </c>
      <c r="X930" t="inlineStr">
        <is>
          <t>2002-12-05</t>
        </is>
      </c>
      <c r="Y930" t="inlineStr">
        <is>
          <t>2002-12-05</t>
        </is>
      </c>
      <c r="Z930" t="inlineStr">
        <is>
          <t>2002-12-05</t>
        </is>
      </c>
      <c r="AA930" t="n">
        <v>90</v>
      </c>
      <c r="AB930" t="n">
        <v>73</v>
      </c>
      <c r="AC930" t="n">
        <v>86</v>
      </c>
      <c r="AD930" t="n">
        <v>1</v>
      </c>
      <c r="AE930" t="n">
        <v>1</v>
      </c>
      <c r="AF930" t="n">
        <v>2</v>
      </c>
      <c r="AG930" t="n">
        <v>2</v>
      </c>
      <c r="AH930" t="n">
        <v>0</v>
      </c>
      <c r="AI930" t="n">
        <v>0</v>
      </c>
      <c r="AJ930" t="n">
        <v>1</v>
      </c>
      <c r="AK930" t="n">
        <v>1</v>
      </c>
      <c r="AL930" t="n">
        <v>2</v>
      </c>
      <c r="AM930" t="n">
        <v>2</v>
      </c>
      <c r="AN930" t="n">
        <v>0</v>
      </c>
      <c r="AO930" t="n">
        <v>0</v>
      </c>
      <c r="AP930" t="n">
        <v>0</v>
      </c>
      <c r="AQ930" t="n">
        <v>0</v>
      </c>
      <c r="AR930" t="inlineStr">
        <is>
          <t>No</t>
        </is>
      </c>
      <c r="AS930" t="inlineStr">
        <is>
          <t>Yes</t>
        </is>
      </c>
      <c r="AT930">
        <f>HYPERLINK("http://catalog.hathitrust.org/Record/004157462","HathiTrust Record")</f>
        <v/>
      </c>
      <c r="AU930">
        <f>HYPERLINK("https://creighton-primo.hosted.exlibrisgroup.com/primo-explore/search?tab=default_tab&amp;search_scope=EVERYTHING&amp;vid=01CRU&amp;lang=en_US&amp;offset=0&amp;query=any,contains,991003926399702656","Catalog Record")</f>
        <v/>
      </c>
      <c r="AV930">
        <f>HYPERLINK("http://www.worldcat.org/oclc/46918433","WorldCat Record")</f>
        <v/>
      </c>
      <c r="AW930" t="inlineStr">
        <is>
          <t>1121047663:spa</t>
        </is>
      </c>
      <c r="AX930" t="inlineStr">
        <is>
          <t>46918433</t>
        </is>
      </c>
      <c r="AY930" t="inlineStr">
        <is>
          <t>991003926399702656</t>
        </is>
      </c>
      <c r="AZ930" t="inlineStr">
        <is>
          <t>991003926399702656</t>
        </is>
      </c>
      <c r="BA930" t="inlineStr">
        <is>
          <t>2260709140002656</t>
        </is>
      </c>
      <c r="BB930" t="inlineStr">
        <is>
          <t>BOOK</t>
        </is>
      </c>
      <c r="BD930" t="inlineStr">
        <is>
          <t>9789684114975</t>
        </is>
      </c>
      <c r="BE930" t="inlineStr">
        <is>
          <t>32285004668702</t>
        </is>
      </c>
      <c r="BF930" t="inlineStr">
        <is>
          <t>893722172</t>
        </is>
      </c>
    </row>
    <row r="931">
      <c r="A931" t="inlineStr">
        <is>
          <t>No</t>
        </is>
      </c>
      <c r="B931" t="inlineStr">
        <is>
          <t>CURAL</t>
        </is>
      </c>
      <c r="C931" t="inlineStr">
        <is>
          <t>SHELVES</t>
        </is>
      </c>
      <c r="D931" t="inlineStr">
        <is>
          <t>PQ7361 .N84 2000</t>
        </is>
      </c>
      <c r="E931" t="inlineStr">
        <is>
          <t>0                      PQ 7361000N  84          2000</t>
        </is>
      </c>
      <c r="F931" t="inlineStr">
        <is>
          <t>Los nuevos caníbales : antología de la más reciente cuentística del Caribe hispano / [Marilyn Bobes, Pedro Antonio Valdez, Carlos R. Gómez Beras, antólogos].</t>
        </is>
      </c>
      <c r="H931" t="inlineStr">
        <is>
          <t>No</t>
        </is>
      </c>
      <c r="I931" t="inlineStr">
        <is>
          <t>1</t>
        </is>
      </c>
      <c r="J931" t="inlineStr">
        <is>
          <t>No</t>
        </is>
      </c>
      <c r="K931" t="inlineStr">
        <is>
          <t>Yes</t>
        </is>
      </c>
      <c r="L931" t="inlineStr">
        <is>
          <t>0</t>
        </is>
      </c>
      <c r="N931" t="inlineStr">
        <is>
          <t>La Habana, Cuba : Ediciones Unión ; San Juan, P.R. : Editorial Isla Negra ; Santo Domingo, República Dominicana : Editorial Búho, c2000.</t>
        </is>
      </c>
      <c r="O931" t="inlineStr">
        <is>
          <t>2000</t>
        </is>
      </c>
      <c r="Q931" t="inlineStr">
        <is>
          <t>spa</t>
        </is>
      </c>
      <c r="R931" t="inlineStr">
        <is>
          <t xml:space="preserve">cu </t>
        </is>
      </c>
      <c r="T931" t="inlineStr">
        <is>
          <t xml:space="preserve">PQ </t>
        </is>
      </c>
      <c r="U931" t="n">
        <v>2</v>
      </c>
      <c r="V931" t="n">
        <v>2</v>
      </c>
      <c r="W931" t="inlineStr">
        <is>
          <t>2005-07-14</t>
        </is>
      </c>
      <c r="X931" t="inlineStr">
        <is>
          <t>2005-07-14</t>
        </is>
      </c>
      <c r="Y931" t="inlineStr">
        <is>
          <t>2001-06-12</t>
        </is>
      </c>
      <c r="Z931" t="inlineStr">
        <is>
          <t>2001-06-12</t>
        </is>
      </c>
      <c r="AA931" t="n">
        <v>115</v>
      </c>
      <c r="AB931" t="n">
        <v>112</v>
      </c>
      <c r="AC931" t="n">
        <v>143</v>
      </c>
      <c r="AD931" t="n">
        <v>1</v>
      </c>
      <c r="AE931" t="n">
        <v>2</v>
      </c>
      <c r="AF931" t="n">
        <v>6</v>
      </c>
      <c r="AG931" t="n">
        <v>7</v>
      </c>
      <c r="AH931" t="n">
        <v>2</v>
      </c>
      <c r="AI931" t="n">
        <v>2</v>
      </c>
      <c r="AJ931" t="n">
        <v>3</v>
      </c>
      <c r="AK931" t="n">
        <v>3</v>
      </c>
      <c r="AL931" t="n">
        <v>2</v>
      </c>
      <c r="AM931" t="n">
        <v>2</v>
      </c>
      <c r="AN931" t="n">
        <v>0</v>
      </c>
      <c r="AO931" t="n">
        <v>1</v>
      </c>
      <c r="AP931" t="n">
        <v>0</v>
      </c>
      <c r="AQ931" t="n">
        <v>0</v>
      </c>
      <c r="AR931" t="inlineStr">
        <is>
          <t>No</t>
        </is>
      </c>
      <c r="AS931" t="inlineStr">
        <is>
          <t>Yes</t>
        </is>
      </c>
      <c r="AT931">
        <f>HYPERLINK("http://catalog.hathitrust.org/Record/004227310","HathiTrust Record")</f>
        <v/>
      </c>
      <c r="AU931">
        <f>HYPERLINK("https://creighton-primo.hosted.exlibrisgroup.com/primo-explore/search?tab=default_tab&amp;search_scope=EVERYTHING&amp;vid=01CRU&amp;lang=en_US&amp;offset=0&amp;query=any,contains,991003558449702656","Catalog Record")</f>
        <v/>
      </c>
      <c r="AV931">
        <f>HYPERLINK("http://www.worldcat.org/oclc/47521515","WorldCat Record")</f>
        <v/>
      </c>
      <c r="AW931" t="inlineStr">
        <is>
          <t>351378849:spa</t>
        </is>
      </c>
      <c r="AX931" t="inlineStr">
        <is>
          <t>47521515</t>
        </is>
      </c>
      <c r="AY931" t="inlineStr">
        <is>
          <t>991003558449702656</t>
        </is>
      </c>
      <c r="AZ931" t="inlineStr">
        <is>
          <t>991003558449702656</t>
        </is>
      </c>
      <c r="BA931" t="inlineStr">
        <is>
          <t>2264182800002656</t>
        </is>
      </c>
      <c r="BB931" t="inlineStr">
        <is>
          <t>BOOK</t>
        </is>
      </c>
      <c r="BD931" t="inlineStr">
        <is>
          <t>9781881715757</t>
        </is>
      </c>
      <c r="BE931" t="inlineStr">
        <is>
          <t>32285004326889</t>
        </is>
      </c>
      <c r="BF931" t="inlineStr">
        <is>
          <t>893774872</t>
        </is>
      </c>
    </row>
    <row r="932">
      <c r="A932" t="inlineStr">
        <is>
          <t>No</t>
        </is>
      </c>
      <c r="B932" t="inlineStr">
        <is>
          <t>CURAL</t>
        </is>
      </c>
      <c r="C932" t="inlineStr">
        <is>
          <t>SHELVES</t>
        </is>
      </c>
      <c r="D932" t="inlineStr">
        <is>
          <t>PQ7371 .D5 1980</t>
        </is>
      </c>
      <c r="E932" t="inlineStr">
        <is>
          <t>0                      PQ 7371000D  5           1980</t>
        </is>
      </c>
      <c r="F932" t="inlineStr">
        <is>
          <t>Diccionario de la literatura cubana / Instituto de Literatura y Lingüística de la Academia de Ciencias de Cuba.</t>
        </is>
      </c>
      <c r="G932" t="inlineStr">
        <is>
          <t>V. 1</t>
        </is>
      </c>
      <c r="H932" t="inlineStr">
        <is>
          <t>Yes</t>
        </is>
      </c>
      <c r="I932" t="inlineStr">
        <is>
          <t>1</t>
        </is>
      </c>
      <c r="J932" t="inlineStr">
        <is>
          <t>No</t>
        </is>
      </c>
      <c r="K932" t="inlineStr">
        <is>
          <t>No</t>
        </is>
      </c>
      <c r="L932" t="inlineStr">
        <is>
          <t>0</t>
        </is>
      </c>
      <c r="N932" t="inlineStr">
        <is>
          <t>Ciudad de La Habana, Cuba : Editorial Letras Cubanas, 1980-c1984.</t>
        </is>
      </c>
      <c r="O932" t="inlineStr">
        <is>
          <t>1980</t>
        </is>
      </c>
      <c r="Q932" t="inlineStr">
        <is>
          <t>spa</t>
        </is>
      </c>
      <c r="R932" t="inlineStr">
        <is>
          <t xml:space="preserve">cu </t>
        </is>
      </c>
      <c r="T932" t="inlineStr">
        <is>
          <t xml:space="preserve">PQ </t>
        </is>
      </c>
      <c r="U932" t="n">
        <v>1</v>
      </c>
      <c r="V932" t="n">
        <v>2</v>
      </c>
      <c r="W932" t="inlineStr">
        <is>
          <t>2004-08-09</t>
        </is>
      </c>
      <c r="X932" t="inlineStr">
        <is>
          <t>2004-08-09</t>
        </is>
      </c>
      <c r="Y932" t="inlineStr">
        <is>
          <t>2004-08-09</t>
        </is>
      </c>
      <c r="Z932" t="inlineStr">
        <is>
          <t>2004-08-09</t>
        </is>
      </c>
      <c r="AA932" t="n">
        <v>169</v>
      </c>
      <c r="AB932" t="n">
        <v>131</v>
      </c>
      <c r="AC932" t="n">
        <v>133</v>
      </c>
      <c r="AD932" t="n">
        <v>2</v>
      </c>
      <c r="AE932" t="n">
        <v>2</v>
      </c>
      <c r="AF932" t="n">
        <v>8</v>
      </c>
      <c r="AG932" t="n">
        <v>8</v>
      </c>
      <c r="AH932" t="n">
        <v>0</v>
      </c>
      <c r="AI932" t="n">
        <v>0</v>
      </c>
      <c r="AJ932" t="n">
        <v>4</v>
      </c>
      <c r="AK932" t="n">
        <v>4</v>
      </c>
      <c r="AL932" t="n">
        <v>5</v>
      </c>
      <c r="AM932" t="n">
        <v>5</v>
      </c>
      <c r="AN932" t="n">
        <v>1</v>
      </c>
      <c r="AO932" t="n">
        <v>1</v>
      </c>
      <c r="AP932" t="n">
        <v>0</v>
      </c>
      <c r="AQ932" t="n">
        <v>0</v>
      </c>
      <c r="AR932" t="inlineStr">
        <is>
          <t>No</t>
        </is>
      </c>
      <c r="AS932" t="inlineStr">
        <is>
          <t>Yes</t>
        </is>
      </c>
      <c r="AT932">
        <f>HYPERLINK("http://catalog.hathitrust.org/Record/000239880","HathiTrust Record")</f>
        <v/>
      </c>
      <c r="AU932">
        <f>HYPERLINK("https://creighton-primo.hosted.exlibrisgroup.com/primo-explore/search?tab=default_tab&amp;search_scope=EVERYTHING&amp;vid=01CRU&amp;lang=en_US&amp;offset=0&amp;query=any,contains,991004342449702656","Catalog Record")</f>
        <v/>
      </c>
      <c r="AV932">
        <f>HYPERLINK("http://www.worldcat.org/oclc/7876773","WorldCat Record")</f>
        <v/>
      </c>
      <c r="AW932" t="inlineStr">
        <is>
          <t>2864500052:spa</t>
        </is>
      </c>
      <c r="AX932" t="inlineStr">
        <is>
          <t>7876773</t>
        </is>
      </c>
      <c r="AY932" t="inlineStr">
        <is>
          <t>991004342449702656</t>
        </is>
      </c>
      <c r="AZ932" t="inlineStr">
        <is>
          <t>991004342449702656</t>
        </is>
      </c>
      <c r="BA932" t="inlineStr">
        <is>
          <t>2268744870002656</t>
        </is>
      </c>
      <c r="BB932" t="inlineStr">
        <is>
          <t>BOOK</t>
        </is>
      </c>
      <c r="BE932" t="inlineStr">
        <is>
          <t>32285004980131</t>
        </is>
      </c>
      <c r="BF932" t="inlineStr">
        <is>
          <t>893624621</t>
        </is>
      </c>
    </row>
    <row r="933">
      <c r="A933" t="inlineStr">
        <is>
          <t>No</t>
        </is>
      </c>
      <c r="B933" t="inlineStr">
        <is>
          <t>CURAL</t>
        </is>
      </c>
      <c r="C933" t="inlineStr">
        <is>
          <t>SHELVES</t>
        </is>
      </c>
      <c r="D933" t="inlineStr">
        <is>
          <t>PQ7371 .D5 1980</t>
        </is>
      </c>
      <c r="E933" t="inlineStr">
        <is>
          <t>0                      PQ 7371000D  5           1980</t>
        </is>
      </c>
      <c r="F933" t="inlineStr">
        <is>
          <t>Diccionario de la literatura cubana / Instituto de Literatura y Lingüística de la Academia de Ciencias de Cuba.</t>
        </is>
      </c>
      <c r="G933" t="inlineStr">
        <is>
          <t>V. 2</t>
        </is>
      </c>
      <c r="H933" t="inlineStr">
        <is>
          <t>Yes</t>
        </is>
      </c>
      <c r="I933" t="inlineStr">
        <is>
          <t>1</t>
        </is>
      </c>
      <c r="J933" t="inlineStr">
        <is>
          <t>No</t>
        </is>
      </c>
      <c r="K933" t="inlineStr">
        <is>
          <t>No</t>
        </is>
      </c>
      <c r="L933" t="inlineStr">
        <is>
          <t>0</t>
        </is>
      </c>
      <c r="N933" t="inlineStr">
        <is>
          <t>Ciudad de La Habana, Cuba : Editorial Letras Cubanas, 1980-c1984.</t>
        </is>
      </c>
      <c r="O933" t="inlineStr">
        <is>
          <t>1980</t>
        </is>
      </c>
      <c r="Q933" t="inlineStr">
        <is>
          <t>spa</t>
        </is>
      </c>
      <c r="R933" t="inlineStr">
        <is>
          <t xml:space="preserve">cu </t>
        </is>
      </c>
      <c r="T933" t="inlineStr">
        <is>
          <t xml:space="preserve">PQ </t>
        </is>
      </c>
      <c r="U933" t="n">
        <v>1</v>
      </c>
      <c r="V933" t="n">
        <v>2</v>
      </c>
      <c r="W933" t="inlineStr">
        <is>
          <t>2004-08-09</t>
        </is>
      </c>
      <c r="X933" t="inlineStr">
        <is>
          <t>2004-08-09</t>
        </is>
      </c>
      <c r="Y933" t="inlineStr">
        <is>
          <t>2004-08-09</t>
        </is>
      </c>
      <c r="Z933" t="inlineStr">
        <is>
          <t>2004-08-09</t>
        </is>
      </c>
      <c r="AA933" t="n">
        <v>169</v>
      </c>
      <c r="AB933" t="n">
        <v>131</v>
      </c>
      <c r="AC933" t="n">
        <v>133</v>
      </c>
      <c r="AD933" t="n">
        <v>2</v>
      </c>
      <c r="AE933" t="n">
        <v>2</v>
      </c>
      <c r="AF933" t="n">
        <v>8</v>
      </c>
      <c r="AG933" t="n">
        <v>8</v>
      </c>
      <c r="AH933" t="n">
        <v>0</v>
      </c>
      <c r="AI933" t="n">
        <v>0</v>
      </c>
      <c r="AJ933" t="n">
        <v>4</v>
      </c>
      <c r="AK933" t="n">
        <v>4</v>
      </c>
      <c r="AL933" t="n">
        <v>5</v>
      </c>
      <c r="AM933" t="n">
        <v>5</v>
      </c>
      <c r="AN933" t="n">
        <v>1</v>
      </c>
      <c r="AO933" t="n">
        <v>1</v>
      </c>
      <c r="AP933" t="n">
        <v>0</v>
      </c>
      <c r="AQ933" t="n">
        <v>0</v>
      </c>
      <c r="AR933" t="inlineStr">
        <is>
          <t>No</t>
        </is>
      </c>
      <c r="AS933" t="inlineStr">
        <is>
          <t>Yes</t>
        </is>
      </c>
      <c r="AT933">
        <f>HYPERLINK("http://catalog.hathitrust.org/Record/000239880","HathiTrust Record")</f>
        <v/>
      </c>
      <c r="AU933">
        <f>HYPERLINK("https://creighton-primo.hosted.exlibrisgroup.com/primo-explore/search?tab=default_tab&amp;search_scope=EVERYTHING&amp;vid=01CRU&amp;lang=en_US&amp;offset=0&amp;query=any,contains,991004342449702656","Catalog Record")</f>
        <v/>
      </c>
      <c r="AV933">
        <f>HYPERLINK("http://www.worldcat.org/oclc/7876773","WorldCat Record")</f>
        <v/>
      </c>
      <c r="AW933" t="inlineStr">
        <is>
          <t>2864500052:spa</t>
        </is>
      </c>
      <c r="AX933" t="inlineStr">
        <is>
          <t>7876773</t>
        </is>
      </c>
      <c r="AY933" t="inlineStr">
        <is>
          <t>991004342449702656</t>
        </is>
      </c>
      <c r="AZ933" t="inlineStr">
        <is>
          <t>991004342449702656</t>
        </is>
      </c>
      <c r="BA933" t="inlineStr">
        <is>
          <t>2268744870002656</t>
        </is>
      </c>
      <c r="BB933" t="inlineStr">
        <is>
          <t>BOOK</t>
        </is>
      </c>
      <c r="BE933" t="inlineStr">
        <is>
          <t>32285004980149</t>
        </is>
      </c>
      <c r="BF933" t="inlineStr">
        <is>
          <t>893624620</t>
        </is>
      </c>
    </row>
    <row r="934">
      <c r="A934" t="inlineStr">
        <is>
          <t>No</t>
        </is>
      </c>
      <c r="B934" t="inlineStr">
        <is>
          <t>CURAL</t>
        </is>
      </c>
      <c r="C934" t="inlineStr">
        <is>
          <t>SHELVES</t>
        </is>
      </c>
      <c r="D934" t="inlineStr">
        <is>
          <t>PQ7371 .P47 1983</t>
        </is>
      </c>
      <c r="E934" t="inlineStr">
        <is>
          <t>0                      PQ 7371000P  47          1983</t>
        </is>
      </c>
      <c r="F934" t="inlineStr">
        <is>
          <t>Perfil histórico de las letras cubanas : desde los orígenes hasta 1898 / Instituto de Literatura y Lingüística de la Academia de Ciencias de Cuba.</t>
        </is>
      </c>
      <c r="H934" t="inlineStr">
        <is>
          <t>No</t>
        </is>
      </c>
      <c r="I934" t="inlineStr">
        <is>
          <t>1</t>
        </is>
      </c>
      <c r="J934" t="inlineStr">
        <is>
          <t>No</t>
        </is>
      </c>
      <c r="K934" t="inlineStr">
        <is>
          <t>No</t>
        </is>
      </c>
      <c r="L934" t="inlineStr">
        <is>
          <t>0</t>
        </is>
      </c>
      <c r="N934" t="inlineStr">
        <is>
          <t>Ciudad de La Habana, Cuba : Editorial Letras Cubanas, 1983.</t>
        </is>
      </c>
      <c r="O934" t="inlineStr">
        <is>
          <t>1983</t>
        </is>
      </c>
      <c r="Q934" t="inlineStr">
        <is>
          <t>spa</t>
        </is>
      </c>
      <c r="R934" t="inlineStr">
        <is>
          <t xml:space="preserve">cu </t>
        </is>
      </c>
      <c r="T934" t="inlineStr">
        <is>
          <t xml:space="preserve">PQ </t>
        </is>
      </c>
      <c r="U934" t="n">
        <v>1</v>
      </c>
      <c r="V934" t="n">
        <v>1</v>
      </c>
      <c r="W934" t="inlineStr">
        <is>
          <t>2004-08-02</t>
        </is>
      </c>
      <c r="X934" t="inlineStr">
        <is>
          <t>2004-08-02</t>
        </is>
      </c>
      <c r="Y934" t="inlineStr">
        <is>
          <t>2004-08-02</t>
        </is>
      </c>
      <c r="Z934" t="inlineStr">
        <is>
          <t>2004-08-02</t>
        </is>
      </c>
      <c r="AA934" t="n">
        <v>102</v>
      </c>
      <c r="AB934" t="n">
        <v>74</v>
      </c>
      <c r="AC934" t="n">
        <v>78</v>
      </c>
      <c r="AD934" t="n">
        <v>1</v>
      </c>
      <c r="AE934" t="n">
        <v>1</v>
      </c>
      <c r="AF934" t="n">
        <v>4</v>
      </c>
      <c r="AG934" t="n">
        <v>4</v>
      </c>
      <c r="AH934" t="n">
        <v>0</v>
      </c>
      <c r="AI934" t="n">
        <v>0</v>
      </c>
      <c r="AJ934" t="n">
        <v>2</v>
      </c>
      <c r="AK934" t="n">
        <v>2</v>
      </c>
      <c r="AL934" t="n">
        <v>3</v>
      </c>
      <c r="AM934" t="n">
        <v>3</v>
      </c>
      <c r="AN934" t="n">
        <v>0</v>
      </c>
      <c r="AO934" t="n">
        <v>0</v>
      </c>
      <c r="AP934" t="n">
        <v>0</v>
      </c>
      <c r="AQ934" t="n">
        <v>0</v>
      </c>
      <c r="AR934" t="inlineStr">
        <is>
          <t>No</t>
        </is>
      </c>
      <c r="AS934" t="inlineStr">
        <is>
          <t>Yes</t>
        </is>
      </c>
      <c r="AT934">
        <f>HYPERLINK("http://catalog.hathitrust.org/Record/002563449","HathiTrust Record")</f>
        <v/>
      </c>
      <c r="AU934">
        <f>HYPERLINK("https://creighton-primo.hosted.exlibrisgroup.com/primo-explore/search?tab=default_tab&amp;search_scope=EVERYTHING&amp;vid=01CRU&amp;lang=en_US&amp;offset=0&amp;query=any,contains,991004332309702656","Catalog Record")</f>
        <v/>
      </c>
      <c r="AV934">
        <f>HYPERLINK("http://www.worldcat.org/oclc/11866628","WorldCat Record")</f>
        <v/>
      </c>
      <c r="AW934" t="inlineStr">
        <is>
          <t>4428686:spa</t>
        </is>
      </c>
      <c r="AX934" t="inlineStr">
        <is>
          <t>11866628</t>
        </is>
      </c>
      <c r="AY934" t="inlineStr">
        <is>
          <t>991004332309702656</t>
        </is>
      </c>
      <c r="AZ934" t="inlineStr">
        <is>
          <t>991004332309702656</t>
        </is>
      </c>
      <c r="BA934" t="inlineStr">
        <is>
          <t>2265113740002656</t>
        </is>
      </c>
      <c r="BB934" t="inlineStr">
        <is>
          <t>BOOK</t>
        </is>
      </c>
      <c r="BE934" t="inlineStr">
        <is>
          <t>32285004925276</t>
        </is>
      </c>
      <c r="BF934" t="inlineStr">
        <is>
          <t>893901122</t>
        </is>
      </c>
    </row>
    <row r="935">
      <c r="A935" t="inlineStr">
        <is>
          <t>No</t>
        </is>
      </c>
      <c r="B935" t="inlineStr">
        <is>
          <t>CURAL</t>
        </is>
      </c>
      <c r="C935" t="inlineStr">
        <is>
          <t>SHELVES</t>
        </is>
      </c>
      <c r="D935" t="inlineStr">
        <is>
          <t>PQ7371 .P612 1981</t>
        </is>
      </c>
      <c r="E935" t="inlineStr">
        <is>
          <t>0                      PQ 7371000P  612         1981</t>
        </is>
      </c>
      <c r="F935" t="inlineStr">
        <is>
          <t>Capaitulos de literatura cubana / Josae Antonio Portuondo.</t>
        </is>
      </c>
      <c r="H935" t="inlineStr">
        <is>
          <t>No</t>
        </is>
      </c>
      <c r="I935" t="inlineStr">
        <is>
          <t>1</t>
        </is>
      </c>
      <c r="J935" t="inlineStr">
        <is>
          <t>No</t>
        </is>
      </c>
      <c r="K935" t="inlineStr">
        <is>
          <t>No</t>
        </is>
      </c>
      <c r="L935" t="inlineStr">
        <is>
          <t>0</t>
        </is>
      </c>
      <c r="M935" t="inlineStr">
        <is>
          <t>Portuondo, José Antonio, 1911-1996.</t>
        </is>
      </c>
      <c r="N935" t="inlineStr">
        <is>
          <t>Ciudad de La Habana, Cuba : Editorial Letras Cubanas ; New York, N.Y. (G.P.O. Box 1913, New York, N.Y. 10116) : Distribuido por Ediciones Vitral, 1981.</t>
        </is>
      </c>
      <c r="O935" t="inlineStr">
        <is>
          <t>1981</t>
        </is>
      </c>
      <c r="Q935" t="inlineStr">
        <is>
          <t>spa</t>
        </is>
      </c>
      <c r="R935" t="inlineStr">
        <is>
          <t xml:space="preserve">cu </t>
        </is>
      </c>
      <c r="T935" t="inlineStr">
        <is>
          <t xml:space="preserve">PQ </t>
        </is>
      </c>
      <c r="U935" t="n">
        <v>1</v>
      </c>
      <c r="V935" t="n">
        <v>1</v>
      </c>
      <c r="W935" t="inlineStr">
        <is>
          <t>2004-08-02</t>
        </is>
      </c>
      <c r="X935" t="inlineStr">
        <is>
          <t>2004-08-02</t>
        </is>
      </c>
      <c r="Y935" t="inlineStr">
        <is>
          <t>2004-08-02</t>
        </is>
      </c>
      <c r="Z935" t="inlineStr">
        <is>
          <t>2004-08-02</t>
        </is>
      </c>
      <c r="AA935" t="n">
        <v>82</v>
      </c>
      <c r="AB935" t="n">
        <v>58</v>
      </c>
      <c r="AC935" t="n">
        <v>59</v>
      </c>
      <c r="AD935" t="n">
        <v>1</v>
      </c>
      <c r="AE935" t="n">
        <v>1</v>
      </c>
      <c r="AF935" t="n">
        <v>1</v>
      </c>
      <c r="AG935" t="n">
        <v>1</v>
      </c>
      <c r="AH935" t="n">
        <v>0</v>
      </c>
      <c r="AI935" t="n">
        <v>0</v>
      </c>
      <c r="AJ935" t="n">
        <v>1</v>
      </c>
      <c r="AK935" t="n">
        <v>1</v>
      </c>
      <c r="AL935" t="n">
        <v>0</v>
      </c>
      <c r="AM935" t="n">
        <v>0</v>
      </c>
      <c r="AN935" t="n">
        <v>0</v>
      </c>
      <c r="AO935" t="n">
        <v>0</v>
      </c>
      <c r="AP935" t="n">
        <v>0</v>
      </c>
      <c r="AQ935" t="n">
        <v>0</v>
      </c>
      <c r="AR935" t="inlineStr">
        <is>
          <t>No</t>
        </is>
      </c>
      <c r="AS935" t="inlineStr">
        <is>
          <t>Yes</t>
        </is>
      </c>
      <c r="AT935">
        <f>HYPERLINK("http://catalog.hathitrust.org/Record/006084603","HathiTrust Record")</f>
        <v/>
      </c>
      <c r="AU935">
        <f>HYPERLINK("https://creighton-primo.hosted.exlibrisgroup.com/primo-explore/search?tab=default_tab&amp;search_scope=EVERYTHING&amp;vid=01CRU&amp;lang=en_US&amp;offset=0&amp;query=any,contains,991004332269702656","Catalog Record")</f>
        <v/>
      </c>
      <c r="AV935">
        <f>HYPERLINK("http://www.worldcat.org/oclc/9441893","WorldCat Record")</f>
        <v/>
      </c>
      <c r="AW935" t="inlineStr">
        <is>
          <t>42978771:spa</t>
        </is>
      </c>
      <c r="AX935" t="inlineStr">
        <is>
          <t>9441893</t>
        </is>
      </c>
      <c r="AY935" t="inlineStr">
        <is>
          <t>991004332269702656</t>
        </is>
      </c>
      <c r="AZ935" t="inlineStr">
        <is>
          <t>991004332269702656</t>
        </is>
      </c>
      <c r="BA935" t="inlineStr">
        <is>
          <t>2265118820002656</t>
        </is>
      </c>
      <c r="BB935" t="inlineStr">
        <is>
          <t>BOOK</t>
        </is>
      </c>
      <c r="BE935" t="inlineStr">
        <is>
          <t>32285004925284</t>
        </is>
      </c>
      <c r="BF935" t="inlineStr">
        <is>
          <t>893712460</t>
        </is>
      </c>
    </row>
    <row r="936">
      <c r="A936" t="inlineStr">
        <is>
          <t>No</t>
        </is>
      </c>
      <c r="B936" t="inlineStr">
        <is>
          <t>CURAL</t>
        </is>
      </c>
      <c r="C936" t="inlineStr">
        <is>
          <t>SHELVES</t>
        </is>
      </c>
      <c r="D936" t="inlineStr">
        <is>
          <t>PQ7373 .L4 1974</t>
        </is>
      </c>
      <c r="E936" t="inlineStr">
        <is>
          <t>0                      PQ 7373000L  4           1974</t>
        </is>
      </c>
      <c r="F936" t="inlineStr">
        <is>
          <t>La cantidad hechizada / Jose Lezama Lima.</t>
        </is>
      </c>
      <c r="H936" t="inlineStr">
        <is>
          <t>No</t>
        </is>
      </c>
      <c r="I936" t="inlineStr">
        <is>
          <t>1</t>
        </is>
      </c>
      <c r="J936" t="inlineStr">
        <is>
          <t>No</t>
        </is>
      </c>
      <c r="K936" t="inlineStr">
        <is>
          <t>No</t>
        </is>
      </c>
      <c r="L936" t="inlineStr">
        <is>
          <t>0</t>
        </is>
      </c>
      <c r="M936" t="inlineStr">
        <is>
          <t>Lezama Lima, José.</t>
        </is>
      </c>
      <c r="N936" t="inlineStr">
        <is>
          <t>[Madrid] : Júcar, 1974.</t>
        </is>
      </c>
      <c r="O936" t="inlineStr">
        <is>
          <t>1974</t>
        </is>
      </c>
      <c r="P936" t="inlineStr">
        <is>
          <t>1a ed.</t>
        </is>
      </c>
      <c r="Q936" t="inlineStr">
        <is>
          <t>spa</t>
        </is>
      </c>
      <c r="R936" t="inlineStr">
        <is>
          <t xml:space="preserve">sp </t>
        </is>
      </c>
      <c r="S936" t="inlineStr">
        <is>
          <t>La Vela latina, 7. Ensayo</t>
        </is>
      </c>
      <c r="T936" t="inlineStr">
        <is>
          <t xml:space="preserve">PQ </t>
        </is>
      </c>
      <c r="U936" t="n">
        <v>1</v>
      </c>
      <c r="V936" t="n">
        <v>1</v>
      </c>
      <c r="W936" t="inlineStr">
        <is>
          <t>2004-08-04</t>
        </is>
      </c>
      <c r="X936" t="inlineStr">
        <is>
          <t>2004-08-04</t>
        </is>
      </c>
      <c r="Y936" t="inlineStr">
        <is>
          <t>2004-08-04</t>
        </is>
      </c>
      <c r="Z936" t="inlineStr">
        <is>
          <t>2004-08-04</t>
        </is>
      </c>
      <c r="AA936" t="n">
        <v>206</v>
      </c>
      <c r="AB936" t="n">
        <v>156</v>
      </c>
      <c r="AC936" t="n">
        <v>171</v>
      </c>
      <c r="AD936" t="n">
        <v>2</v>
      </c>
      <c r="AE936" t="n">
        <v>2</v>
      </c>
      <c r="AF936" t="n">
        <v>6</v>
      </c>
      <c r="AG936" t="n">
        <v>6</v>
      </c>
      <c r="AH936" t="n">
        <v>0</v>
      </c>
      <c r="AI936" t="n">
        <v>0</v>
      </c>
      <c r="AJ936" t="n">
        <v>2</v>
      </c>
      <c r="AK936" t="n">
        <v>2</v>
      </c>
      <c r="AL936" t="n">
        <v>5</v>
      </c>
      <c r="AM936" t="n">
        <v>5</v>
      </c>
      <c r="AN936" t="n">
        <v>1</v>
      </c>
      <c r="AO936" t="n">
        <v>1</v>
      </c>
      <c r="AP936" t="n">
        <v>0</v>
      </c>
      <c r="AQ936" t="n">
        <v>0</v>
      </c>
      <c r="AR936" t="inlineStr">
        <is>
          <t>No</t>
        </is>
      </c>
      <c r="AS936" t="inlineStr">
        <is>
          <t>No</t>
        </is>
      </c>
      <c r="AU936">
        <f>HYPERLINK("https://creighton-primo.hosted.exlibrisgroup.com/primo-explore/search?tab=default_tab&amp;search_scope=EVERYTHING&amp;vid=01CRU&amp;lang=en_US&amp;offset=0&amp;query=any,contains,991004336819702656","Catalog Record")</f>
        <v/>
      </c>
      <c r="AV936">
        <f>HYPERLINK("http://www.worldcat.org/oclc/1110459","WorldCat Record")</f>
        <v/>
      </c>
      <c r="AW936" t="inlineStr">
        <is>
          <t>40207909:spa</t>
        </is>
      </c>
      <c r="AX936" t="inlineStr">
        <is>
          <t>1110459</t>
        </is>
      </c>
      <c r="AY936" t="inlineStr">
        <is>
          <t>991004336819702656</t>
        </is>
      </c>
      <c r="AZ936" t="inlineStr">
        <is>
          <t>991004336819702656</t>
        </is>
      </c>
      <c r="BA936" t="inlineStr">
        <is>
          <t>2271963690002656</t>
        </is>
      </c>
      <c r="BB936" t="inlineStr">
        <is>
          <t>BOOK</t>
        </is>
      </c>
      <c r="BD936" t="inlineStr">
        <is>
          <t>9788433400871</t>
        </is>
      </c>
      <c r="BE936" t="inlineStr">
        <is>
          <t>32285004928668</t>
        </is>
      </c>
      <c r="BF936" t="inlineStr">
        <is>
          <t>893331466</t>
        </is>
      </c>
    </row>
    <row r="937">
      <c r="A937" t="inlineStr">
        <is>
          <t>No</t>
        </is>
      </c>
      <c r="B937" t="inlineStr">
        <is>
          <t>CURAL</t>
        </is>
      </c>
      <c r="C937" t="inlineStr">
        <is>
          <t>SHELVES</t>
        </is>
      </c>
      <c r="D937" t="inlineStr">
        <is>
          <t>PQ7380 .V5 1970</t>
        </is>
      </c>
      <c r="E937" t="inlineStr">
        <is>
          <t>0                      PQ 7380000V  5           1970</t>
        </is>
      </c>
      <c r="F937" t="inlineStr">
        <is>
          <t>Lo cubano en la poesía / Cintio Vitier.</t>
        </is>
      </c>
      <c r="H937" t="inlineStr">
        <is>
          <t>No</t>
        </is>
      </c>
      <c r="I937" t="inlineStr">
        <is>
          <t>1</t>
        </is>
      </c>
      <c r="J937" t="inlineStr">
        <is>
          <t>No</t>
        </is>
      </c>
      <c r="K937" t="inlineStr">
        <is>
          <t>No</t>
        </is>
      </c>
      <c r="L937" t="inlineStr">
        <is>
          <t>0</t>
        </is>
      </c>
      <c r="M937" t="inlineStr">
        <is>
          <t>Vitier, Cintio, 1921-2009.</t>
        </is>
      </c>
      <c r="N937" t="inlineStr">
        <is>
          <t>La Habana : Instituto del Libro, 1970.</t>
        </is>
      </c>
      <c r="O937" t="inlineStr">
        <is>
          <t>1970</t>
        </is>
      </c>
      <c r="Q937" t="inlineStr">
        <is>
          <t>spa</t>
        </is>
      </c>
      <c r="R937" t="inlineStr">
        <is>
          <t xml:space="preserve">cu </t>
        </is>
      </c>
      <c r="S937" t="inlineStr">
        <is>
          <t>Letras cubanas ; 3</t>
        </is>
      </c>
      <c r="T937" t="inlineStr">
        <is>
          <t xml:space="preserve">PQ </t>
        </is>
      </c>
      <c r="U937" t="n">
        <v>1</v>
      </c>
      <c r="V937" t="n">
        <v>1</v>
      </c>
      <c r="W937" t="inlineStr">
        <is>
          <t>2002-04-03</t>
        </is>
      </c>
      <c r="X937" t="inlineStr">
        <is>
          <t>2002-04-03</t>
        </is>
      </c>
      <c r="Y937" t="inlineStr">
        <is>
          <t>2002-03-05</t>
        </is>
      </c>
      <c r="Z937" t="inlineStr">
        <is>
          <t>2002-03-05</t>
        </is>
      </c>
      <c r="AA937" t="n">
        <v>109</v>
      </c>
      <c r="AB937" t="n">
        <v>89</v>
      </c>
      <c r="AC937" t="n">
        <v>91</v>
      </c>
      <c r="AD937" t="n">
        <v>2</v>
      </c>
      <c r="AE937" t="n">
        <v>2</v>
      </c>
      <c r="AF937" t="n">
        <v>3</v>
      </c>
      <c r="AG937" t="n">
        <v>3</v>
      </c>
      <c r="AH937" t="n">
        <v>0</v>
      </c>
      <c r="AI937" t="n">
        <v>0</v>
      </c>
      <c r="AJ937" t="n">
        <v>1</v>
      </c>
      <c r="AK937" t="n">
        <v>1</v>
      </c>
      <c r="AL937" t="n">
        <v>2</v>
      </c>
      <c r="AM937" t="n">
        <v>2</v>
      </c>
      <c r="AN937" t="n">
        <v>1</v>
      </c>
      <c r="AO937" t="n">
        <v>1</v>
      </c>
      <c r="AP937" t="n">
        <v>0</v>
      </c>
      <c r="AQ937" t="n">
        <v>0</v>
      </c>
      <c r="AR937" t="inlineStr">
        <is>
          <t>No</t>
        </is>
      </c>
      <c r="AS937" t="inlineStr">
        <is>
          <t>Yes</t>
        </is>
      </c>
      <c r="AT937">
        <f>HYPERLINK("http://catalog.hathitrust.org/Record/101102894","HathiTrust Record")</f>
        <v/>
      </c>
      <c r="AU937">
        <f>HYPERLINK("https://creighton-primo.hosted.exlibrisgroup.com/primo-explore/search?tab=default_tab&amp;search_scope=EVERYTHING&amp;vid=01CRU&amp;lang=en_US&amp;offset=0&amp;query=any,contains,991003757429702656","Catalog Record")</f>
        <v/>
      </c>
      <c r="AV937">
        <f>HYPERLINK("http://www.worldcat.org/oclc/804057","WorldCat Record")</f>
        <v/>
      </c>
      <c r="AW937" t="inlineStr">
        <is>
          <t>10792425135:spa</t>
        </is>
      </c>
      <c r="AX937" t="inlineStr">
        <is>
          <t>804057</t>
        </is>
      </c>
      <c r="AY937" t="inlineStr">
        <is>
          <t>991003757429702656</t>
        </is>
      </c>
      <c r="AZ937" t="inlineStr">
        <is>
          <t>991003757429702656</t>
        </is>
      </c>
      <c r="BA937" t="inlineStr">
        <is>
          <t>2269450360002656</t>
        </is>
      </c>
      <c r="BB937" t="inlineStr">
        <is>
          <t>BOOK</t>
        </is>
      </c>
      <c r="BE937" t="inlineStr">
        <is>
          <t>32285004459581</t>
        </is>
      </c>
      <c r="BF937" t="inlineStr">
        <is>
          <t>893617709</t>
        </is>
      </c>
    </row>
    <row r="938">
      <c r="A938" t="inlineStr">
        <is>
          <t>No</t>
        </is>
      </c>
      <c r="B938" t="inlineStr">
        <is>
          <t>CURAL</t>
        </is>
      </c>
      <c r="C938" t="inlineStr">
        <is>
          <t>SHELVES</t>
        </is>
      </c>
      <c r="D938" t="inlineStr">
        <is>
          <t>PQ7382 .A48 1980</t>
        </is>
      </c>
      <c r="E938" t="inlineStr">
        <is>
          <t>0                      PQ 7382000A  48          1980</t>
        </is>
      </c>
      <c r="F938" t="inlineStr">
        <is>
          <t>La novela cubana en el siglo XX / Imeldo Alvarez.</t>
        </is>
      </c>
      <c r="H938" t="inlineStr">
        <is>
          <t>No</t>
        </is>
      </c>
      <c r="I938" t="inlineStr">
        <is>
          <t>1</t>
        </is>
      </c>
      <c r="J938" t="inlineStr">
        <is>
          <t>No</t>
        </is>
      </c>
      <c r="K938" t="inlineStr">
        <is>
          <t>No</t>
        </is>
      </c>
      <c r="L938" t="inlineStr">
        <is>
          <t>0</t>
        </is>
      </c>
      <c r="M938" t="inlineStr">
        <is>
          <t>Alvarez García, Imeldo, 1928-</t>
        </is>
      </c>
      <c r="N938" t="inlineStr">
        <is>
          <t>Ciudad de La Habana, Cuba : Editorial Letras Cubanas, 1980.</t>
        </is>
      </c>
      <c r="O938" t="inlineStr">
        <is>
          <t>1980</t>
        </is>
      </c>
      <c r="Q938" t="inlineStr">
        <is>
          <t>spa</t>
        </is>
      </c>
      <c r="R938" t="inlineStr">
        <is>
          <t xml:space="preserve">cu </t>
        </is>
      </c>
      <c r="S938" t="inlineStr">
        <is>
          <t>Colección Panorama ; 3</t>
        </is>
      </c>
      <c r="T938" t="inlineStr">
        <is>
          <t xml:space="preserve">PQ </t>
        </is>
      </c>
      <c r="U938" t="n">
        <v>1</v>
      </c>
      <c r="V938" t="n">
        <v>1</v>
      </c>
      <c r="W938" t="inlineStr">
        <is>
          <t>2004-08-04</t>
        </is>
      </c>
      <c r="X938" t="inlineStr">
        <is>
          <t>2004-08-04</t>
        </is>
      </c>
      <c r="Y938" t="inlineStr">
        <is>
          <t>2004-08-04</t>
        </is>
      </c>
      <c r="Z938" t="inlineStr">
        <is>
          <t>2004-08-04</t>
        </is>
      </c>
      <c r="AA938" t="n">
        <v>96</v>
      </c>
      <c r="AB938" t="n">
        <v>71</v>
      </c>
      <c r="AC938" t="n">
        <v>76</v>
      </c>
      <c r="AD938" t="n">
        <v>1</v>
      </c>
      <c r="AE938" t="n">
        <v>1</v>
      </c>
      <c r="AF938" t="n">
        <v>3</v>
      </c>
      <c r="AG938" t="n">
        <v>3</v>
      </c>
      <c r="AH938" t="n">
        <v>0</v>
      </c>
      <c r="AI938" t="n">
        <v>0</v>
      </c>
      <c r="AJ938" t="n">
        <v>3</v>
      </c>
      <c r="AK938" t="n">
        <v>3</v>
      </c>
      <c r="AL938" t="n">
        <v>1</v>
      </c>
      <c r="AM938" t="n">
        <v>1</v>
      </c>
      <c r="AN938" t="n">
        <v>0</v>
      </c>
      <c r="AO938" t="n">
        <v>0</v>
      </c>
      <c r="AP938" t="n">
        <v>0</v>
      </c>
      <c r="AQ938" t="n">
        <v>0</v>
      </c>
      <c r="AR938" t="inlineStr">
        <is>
          <t>No</t>
        </is>
      </c>
      <c r="AS938" t="inlineStr">
        <is>
          <t>Yes</t>
        </is>
      </c>
      <c r="AT938">
        <f>HYPERLINK("http://catalog.hathitrust.org/Record/002197128","HathiTrust Record")</f>
        <v/>
      </c>
      <c r="AU938">
        <f>HYPERLINK("https://creighton-primo.hosted.exlibrisgroup.com/primo-explore/search?tab=default_tab&amp;search_scope=EVERYTHING&amp;vid=01CRU&amp;lang=en_US&amp;offset=0&amp;query=any,contains,991004337399702656","Catalog Record")</f>
        <v/>
      </c>
      <c r="AV938">
        <f>HYPERLINK("http://www.worldcat.org/oclc/9577050","WorldCat Record")</f>
        <v/>
      </c>
      <c r="AW938" t="inlineStr">
        <is>
          <t>353236025:spa</t>
        </is>
      </c>
      <c r="AX938" t="inlineStr">
        <is>
          <t>9577050</t>
        </is>
      </c>
      <c r="AY938" t="inlineStr">
        <is>
          <t>991004337399702656</t>
        </is>
      </c>
      <c r="AZ938" t="inlineStr">
        <is>
          <t>991004337399702656</t>
        </is>
      </c>
      <c r="BA938" t="inlineStr">
        <is>
          <t>2269267980002656</t>
        </is>
      </c>
      <c r="BB938" t="inlineStr">
        <is>
          <t>BOOK</t>
        </is>
      </c>
      <c r="BE938" t="inlineStr">
        <is>
          <t>32285004928114</t>
        </is>
      </c>
      <c r="BF938" t="inlineStr">
        <is>
          <t>893446154</t>
        </is>
      </c>
    </row>
    <row r="939">
      <c r="A939" t="inlineStr">
        <is>
          <t>No</t>
        </is>
      </c>
      <c r="B939" t="inlineStr">
        <is>
          <t>CURAL</t>
        </is>
      </c>
      <c r="C939" t="inlineStr">
        <is>
          <t>SHELVES</t>
        </is>
      </c>
      <c r="D939" t="inlineStr">
        <is>
          <t>PQ7382 .M4 1982</t>
        </is>
      </c>
      <c r="E939" t="inlineStr">
        <is>
          <t>0                      PQ 7382000M  4           1982</t>
        </is>
      </c>
      <c r="F939" t="inlineStr">
        <is>
          <t>Narrativa de la Revolución cubana / Seymour Menton.</t>
        </is>
      </c>
      <c r="H939" t="inlineStr">
        <is>
          <t>No</t>
        </is>
      </c>
      <c r="I939" t="inlineStr">
        <is>
          <t>1</t>
        </is>
      </c>
      <c r="J939" t="inlineStr">
        <is>
          <t>No</t>
        </is>
      </c>
      <c r="K939" t="inlineStr">
        <is>
          <t>No</t>
        </is>
      </c>
      <c r="L939" t="inlineStr">
        <is>
          <t>0</t>
        </is>
      </c>
      <c r="M939" t="inlineStr">
        <is>
          <t>Menton, Seymour.</t>
        </is>
      </c>
      <c r="N939" t="inlineStr">
        <is>
          <t>México, D.F. : Plaza &amp; Janes, 1982.</t>
        </is>
      </c>
      <c r="O939" t="inlineStr">
        <is>
          <t>1982</t>
        </is>
      </c>
      <c r="P939" t="inlineStr">
        <is>
          <t>1a. ed.</t>
        </is>
      </c>
      <c r="Q939" t="inlineStr">
        <is>
          <t>spa</t>
        </is>
      </c>
      <c r="R939" t="inlineStr">
        <is>
          <t xml:space="preserve">mx </t>
        </is>
      </c>
      <c r="T939" t="inlineStr">
        <is>
          <t xml:space="preserve">PQ </t>
        </is>
      </c>
      <c r="U939" t="n">
        <v>2</v>
      </c>
      <c r="V939" t="n">
        <v>2</v>
      </c>
      <c r="W939" t="inlineStr">
        <is>
          <t>1995-08-21</t>
        </is>
      </c>
      <c r="X939" t="inlineStr">
        <is>
          <t>1995-08-21</t>
        </is>
      </c>
      <c r="Y939" t="inlineStr">
        <is>
          <t>1995-08-17</t>
        </is>
      </c>
      <c r="Z939" t="inlineStr">
        <is>
          <t>1995-08-17</t>
        </is>
      </c>
      <c r="AA939" t="n">
        <v>22</v>
      </c>
      <c r="AB939" t="n">
        <v>15</v>
      </c>
      <c r="AC939" t="n">
        <v>186</v>
      </c>
      <c r="AD939" t="n">
        <v>1</v>
      </c>
      <c r="AE939" t="n">
        <v>2</v>
      </c>
      <c r="AF939" t="n">
        <v>0</v>
      </c>
      <c r="AG939" t="n">
        <v>7</v>
      </c>
      <c r="AH939" t="n">
        <v>0</v>
      </c>
      <c r="AI939" t="n">
        <v>2</v>
      </c>
      <c r="AJ939" t="n">
        <v>0</v>
      </c>
      <c r="AK939" t="n">
        <v>2</v>
      </c>
      <c r="AL939" t="n">
        <v>0</v>
      </c>
      <c r="AM939" t="n">
        <v>4</v>
      </c>
      <c r="AN939" t="n">
        <v>0</v>
      </c>
      <c r="AO939" t="n">
        <v>1</v>
      </c>
      <c r="AP939" t="n">
        <v>0</v>
      </c>
      <c r="AQ939" t="n">
        <v>0</v>
      </c>
      <c r="AR939" t="inlineStr">
        <is>
          <t>No</t>
        </is>
      </c>
      <c r="AS939" t="inlineStr">
        <is>
          <t>No</t>
        </is>
      </c>
      <c r="AU939">
        <f>HYPERLINK("https://creighton-primo.hosted.exlibrisgroup.com/primo-explore/search?tab=default_tab&amp;search_scope=EVERYTHING&amp;vid=01CRU&amp;lang=en_US&amp;offset=0&amp;query=any,contains,991001264339702656","Catalog Record")</f>
        <v/>
      </c>
      <c r="AV939">
        <f>HYPERLINK("http://www.worldcat.org/oclc/17802665","WorldCat Record")</f>
        <v/>
      </c>
      <c r="AW939" t="inlineStr">
        <is>
          <t>8908998369:spa</t>
        </is>
      </c>
      <c r="AX939" t="inlineStr">
        <is>
          <t>17802665</t>
        </is>
      </c>
      <c r="AY939" t="inlineStr">
        <is>
          <t>991001264339702656</t>
        </is>
      </c>
      <c r="AZ939" t="inlineStr">
        <is>
          <t>991001264339702656</t>
        </is>
      </c>
      <c r="BA939" t="inlineStr">
        <is>
          <t>2263918060002656</t>
        </is>
      </c>
      <c r="BB939" t="inlineStr">
        <is>
          <t>BOOK</t>
        </is>
      </c>
      <c r="BE939" t="inlineStr">
        <is>
          <t>32285002080538</t>
        </is>
      </c>
      <c r="BF939" t="inlineStr">
        <is>
          <t>893803501</t>
        </is>
      </c>
    </row>
    <row r="940">
      <c r="A940" t="inlineStr">
        <is>
          <t>No</t>
        </is>
      </c>
      <c r="B940" t="inlineStr">
        <is>
          <t>CURAL</t>
        </is>
      </c>
      <c r="C940" t="inlineStr">
        <is>
          <t>SHELVES</t>
        </is>
      </c>
      <c r="D940" t="inlineStr">
        <is>
          <t>PQ7382 .R6 1986</t>
        </is>
      </c>
      <c r="E940" t="inlineStr">
        <is>
          <t>0                      PQ 7382000R  6           1986</t>
        </is>
      </c>
      <c r="F940" t="inlineStr">
        <is>
          <t>La novela de la Revoluciaon Cubana, 1959-1979 / Rogelio Rodraiguez Coronel.</t>
        </is>
      </c>
      <c r="H940" t="inlineStr">
        <is>
          <t>No</t>
        </is>
      </c>
      <c r="I940" t="inlineStr">
        <is>
          <t>1</t>
        </is>
      </c>
      <c r="J940" t="inlineStr">
        <is>
          <t>No</t>
        </is>
      </c>
      <c r="K940" t="inlineStr">
        <is>
          <t>No</t>
        </is>
      </c>
      <c r="L940" t="inlineStr">
        <is>
          <t>0</t>
        </is>
      </c>
      <c r="M940" t="inlineStr">
        <is>
          <t>Rodríguez Coronel, Rogelio, 1946-</t>
        </is>
      </c>
      <c r="N940" t="inlineStr">
        <is>
          <t>La Habana, Cuba : Editorial Letras Cubanas, 1986.</t>
        </is>
      </c>
      <c r="O940" t="inlineStr">
        <is>
          <t>1986</t>
        </is>
      </c>
      <c r="Q940" t="inlineStr">
        <is>
          <t>spa</t>
        </is>
      </c>
      <c r="R940" t="inlineStr">
        <is>
          <t xml:space="preserve">cu </t>
        </is>
      </c>
      <c r="S940" t="inlineStr">
        <is>
          <t>Giraldilla</t>
        </is>
      </c>
      <c r="T940" t="inlineStr">
        <is>
          <t xml:space="preserve">PQ </t>
        </is>
      </c>
      <c r="U940" t="n">
        <v>1</v>
      </c>
      <c r="V940" t="n">
        <v>1</v>
      </c>
      <c r="W940" t="inlineStr">
        <is>
          <t>2004-08-04</t>
        </is>
      </c>
      <c r="X940" t="inlineStr">
        <is>
          <t>2004-08-04</t>
        </is>
      </c>
      <c r="Y940" t="inlineStr">
        <is>
          <t>2004-08-04</t>
        </is>
      </c>
      <c r="Z940" t="inlineStr">
        <is>
          <t>2004-08-04</t>
        </is>
      </c>
      <c r="AA940" t="n">
        <v>87</v>
      </c>
      <c r="AB940" t="n">
        <v>60</v>
      </c>
      <c r="AC940" t="n">
        <v>62</v>
      </c>
      <c r="AD940" t="n">
        <v>1</v>
      </c>
      <c r="AE940" t="n">
        <v>1</v>
      </c>
      <c r="AF940" t="n">
        <v>3</v>
      </c>
      <c r="AG940" t="n">
        <v>3</v>
      </c>
      <c r="AH940" t="n">
        <v>0</v>
      </c>
      <c r="AI940" t="n">
        <v>0</v>
      </c>
      <c r="AJ940" t="n">
        <v>3</v>
      </c>
      <c r="AK940" t="n">
        <v>3</v>
      </c>
      <c r="AL940" t="n">
        <v>1</v>
      </c>
      <c r="AM940" t="n">
        <v>1</v>
      </c>
      <c r="AN940" t="n">
        <v>0</v>
      </c>
      <c r="AO940" t="n">
        <v>0</v>
      </c>
      <c r="AP940" t="n">
        <v>0</v>
      </c>
      <c r="AQ940" t="n">
        <v>0</v>
      </c>
      <c r="AR940" t="inlineStr">
        <is>
          <t>No</t>
        </is>
      </c>
      <c r="AS940" t="inlineStr">
        <is>
          <t>Yes</t>
        </is>
      </c>
      <c r="AT940">
        <f>HYPERLINK("http://catalog.hathitrust.org/Record/101102911","HathiTrust Record")</f>
        <v/>
      </c>
      <c r="AU940">
        <f>HYPERLINK("https://creighton-primo.hosted.exlibrisgroup.com/primo-explore/search?tab=default_tab&amp;search_scope=EVERYTHING&amp;vid=01CRU&amp;lang=en_US&amp;offset=0&amp;query=any,contains,991004337599702656","Catalog Record")</f>
        <v/>
      </c>
      <c r="AV940">
        <f>HYPERLINK("http://www.worldcat.org/oclc/15717134","WorldCat Record")</f>
        <v/>
      </c>
      <c r="AW940" t="inlineStr">
        <is>
          <t>11109755:spa</t>
        </is>
      </c>
      <c r="AX940" t="inlineStr">
        <is>
          <t>15717134</t>
        </is>
      </c>
      <c r="AY940" t="inlineStr">
        <is>
          <t>991004337599702656</t>
        </is>
      </c>
      <c r="AZ940" t="inlineStr">
        <is>
          <t>991004337599702656</t>
        </is>
      </c>
      <c r="BA940" t="inlineStr">
        <is>
          <t>2272426830002656</t>
        </is>
      </c>
      <c r="BB940" t="inlineStr">
        <is>
          <t>BOOK</t>
        </is>
      </c>
      <c r="BE940" t="inlineStr">
        <is>
          <t>32285004928122</t>
        </is>
      </c>
      <c r="BF940" t="inlineStr">
        <is>
          <t>893624615</t>
        </is>
      </c>
    </row>
    <row r="941">
      <c r="A941" t="inlineStr">
        <is>
          <t>No</t>
        </is>
      </c>
      <c r="B941" t="inlineStr">
        <is>
          <t>CURAL</t>
        </is>
      </c>
      <c r="C941" t="inlineStr">
        <is>
          <t>SHELVES</t>
        </is>
      </c>
      <c r="D941" t="inlineStr">
        <is>
          <t>PQ7382 .R65 1983</t>
        </is>
      </c>
      <c r="E941" t="inlineStr">
        <is>
          <t>0                      PQ 7382000R  65          1983</t>
        </is>
      </c>
      <c r="F941" t="inlineStr">
        <is>
          <t>Novela de la revolución y otros temas / Rogelio Rodríguez Coronel.</t>
        </is>
      </c>
      <c r="H941" t="inlineStr">
        <is>
          <t>No</t>
        </is>
      </c>
      <c r="I941" t="inlineStr">
        <is>
          <t>1</t>
        </is>
      </c>
      <c r="J941" t="inlineStr">
        <is>
          <t>No</t>
        </is>
      </c>
      <c r="K941" t="inlineStr">
        <is>
          <t>No</t>
        </is>
      </c>
      <c r="L941" t="inlineStr">
        <is>
          <t>0</t>
        </is>
      </c>
      <c r="M941" t="inlineStr">
        <is>
          <t>Rodríguez Coronel, Rogelio, 1946-</t>
        </is>
      </c>
      <c r="N941" t="inlineStr">
        <is>
          <t>Ciudad de la Habana, Cuba : Editorial Letras Cubanas, 1983.</t>
        </is>
      </c>
      <c r="O941" t="inlineStr">
        <is>
          <t>1983</t>
        </is>
      </c>
      <c r="Q941" t="inlineStr">
        <is>
          <t>spa</t>
        </is>
      </c>
      <c r="R941" t="inlineStr">
        <is>
          <t xml:space="preserve">cu </t>
        </is>
      </c>
      <c r="S941" t="inlineStr">
        <is>
          <t>Colección espiral</t>
        </is>
      </c>
      <c r="T941" t="inlineStr">
        <is>
          <t xml:space="preserve">PQ </t>
        </is>
      </c>
      <c r="U941" t="n">
        <v>1</v>
      </c>
      <c r="V941" t="n">
        <v>1</v>
      </c>
      <c r="W941" t="inlineStr">
        <is>
          <t>2004-08-04</t>
        </is>
      </c>
      <c r="X941" t="inlineStr">
        <is>
          <t>2004-08-04</t>
        </is>
      </c>
      <c r="Y941" t="inlineStr">
        <is>
          <t>2004-08-04</t>
        </is>
      </c>
      <c r="Z941" t="inlineStr">
        <is>
          <t>2004-08-04</t>
        </is>
      </c>
      <c r="AA941" t="n">
        <v>70</v>
      </c>
      <c r="AB941" t="n">
        <v>58</v>
      </c>
      <c r="AC941" t="n">
        <v>60</v>
      </c>
      <c r="AD941" t="n">
        <v>1</v>
      </c>
      <c r="AE941" t="n">
        <v>1</v>
      </c>
      <c r="AF941" t="n">
        <v>3</v>
      </c>
      <c r="AG941" t="n">
        <v>3</v>
      </c>
      <c r="AH941" t="n">
        <v>0</v>
      </c>
      <c r="AI941" t="n">
        <v>0</v>
      </c>
      <c r="AJ941" t="n">
        <v>2</v>
      </c>
      <c r="AK941" t="n">
        <v>2</v>
      </c>
      <c r="AL941" t="n">
        <v>2</v>
      </c>
      <c r="AM941" t="n">
        <v>2</v>
      </c>
      <c r="AN941" t="n">
        <v>0</v>
      </c>
      <c r="AO941" t="n">
        <v>0</v>
      </c>
      <c r="AP941" t="n">
        <v>0</v>
      </c>
      <c r="AQ941" t="n">
        <v>0</v>
      </c>
      <c r="AR941" t="inlineStr">
        <is>
          <t>No</t>
        </is>
      </c>
      <c r="AS941" t="inlineStr">
        <is>
          <t>Yes</t>
        </is>
      </c>
      <c r="AT941">
        <f>HYPERLINK("http://catalog.hathitrust.org/Record/009502793","HathiTrust Record")</f>
        <v/>
      </c>
      <c r="AU941">
        <f>HYPERLINK("https://creighton-primo.hosted.exlibrisgroup.com/primo-explore/search?tab=default_tab&amp;search_scope=EVERYTHING&amp;vid=01CRU&amp;lang=en_US&amp;offset=0&amp;query=any,contains,991004337739702656","Catalog Record")</f>
        <v/>
      </c>
      <c r="AV941">
        <f>HYPERLINK("http://www.worldcat.org/oclc/10817311","WorldCat Record")</f>
        <v/>
      </c>
      <c r="AW941" t="inlineStr">
        <is>
          <t>3131024:spa</t>
        </is>
      </c>
      <c r="AX941" t="inlineStr">
        <is>
          <t>10817311</t>
        </is>
      </c>
      <c r="AY941" t="inlineStr">
        <is>
          <t>991004337739702656</t>
        </is>
      </c>
      <c r="AZ941" t="inlineStr">
        <is>
          <t>991004337739702656</t>
        </is>
      </c>
      <c r="BA941" t="inlineStr">
        <is>
          <t>2269342440002656</t>
        </is>
      </c>
      <c r="BB941" t="inlineStr">
        <is>
          <t>BOOK</t>
        </is>
      </c>
      <c r="BE941" t="inlineStr">
        <is>
          <t>32285004928148</t>
        </is>
      </c>
      <c r="BF941" t="inlineStr">
        <is>
          <t>893875977</t>
        </is>
      </c>
    </row>
    <row r="942">
      <c r="A942" t="inlineStr">
        <is>
          <t>No</t>
        </is>
      </c>
      <c r="B942" t="inlineStr">
        <is>
          <t>CURAL</t>
        </is>
      </c>
      <c r="C942" t="inlineStr">
        <is>
          <t>SHELVES</t>
        </is>
      </c>
      <c r="D942" t="inlineStr">
        <is>
          <t>PQ7384 .N83 2003</t>
        </is>
      </c>
      <c r="E942" t="inlineStr">
        <is>
          <t>0                      PQ 7384000N  83          2003</t>
        </is>
      </c>
      <c r="F942" t="inlineStr">
        <is>
          <t>Los nuevos caníbales. Volumen 2 : antología de la más reciente poesía del Caribe hispano / [Alex Pausides Valdez, Carlos R. Gómez Beras, antbologos].</t>
        </is>
      </c>
      <c r="H942" t="inlineStr">
        <is>
          <t>No</t>
        </is>
      </c>
      <c r="I942" t="inlineStr">
        <is>
          <t>1</t>
        </is>
      </c>
      <c r="J942" t="inlineStr">
        <is>
          <t>No</t>
        </is>
      </c>
      <c r="K942" t="inlineStr">
        <is>
          <t>Yes</t>
        </is>
      </c>
      <c r="L942" t="inlineStr">
        <is>
          <t>0</t>
        </is>
      </c>
      <c r="N942" t="inlineStr">
        <is>
          <t>[Ciudad de la Habana, Cuba] : Ediciones Unión ; [San Juan, P.R.] : Editorial Isla Negra ; [Santo Domingo, República Dominicana] : Editora Buho, c2003.</t>
        </is>
      </c>
      <c r="O942" t="inlineStr">
        <is>
          <t>2003</t>
        </is>
      </c>
      <c r="Q942" t="inlineStr">
        <is>
          <t>spa</t>
        </is>
      </c>
      <c r="R942" t="inlineStr">
        <is>
          <t xml:space="preserve">cu </t>
        </is>
      </c>
      <c r="T942" t="inlineStr">
        <is>
          <t xml:space="preserve">PQ </t>
        </is>
      </c>
      <c r="U942" t="n">
        <v>1</v>
      </c>
      <c r="V942" t="n">
        <v>1</v>
      </c>
      <c r="W942" t="inlineStr">
        <is>
          <t>2004-02-04</t>
        </is>
      </c>
      <c r="X942" t="inlineStr">
        <is>
          <t>2004-02-04</t>
        </is>
      </c>
      <c r="Y942" t="inlineStr">
        <is>
          <t>2004-02-04</t>
        </is>
      </c>
      <c r="Z942" t="inlineStr">
        <is>
          <t>2004-02-04</t>
        </is>
      </c>
      <c r="AA942" t="n">
        <v>20</v>
      </c>
      <c r="AB942" t="n">
        <v>19</v>
      </c>
      <c r="AC942" t="n">
        <v>143</v>
      </c>
      <c r="AD942" t="n">
        <v>2</v>
      </c>
      <c r="AE942" t="n">
        <v>2</v>
      </c>
      <c r="AF942" t="n">
        <v>2</v>
      </c>
      <c r="AG942" t="n">
        <v>7</v>
      </c>
      <c r="AH942" t="n">
        <v>0</v>
      </c>
      <c r="AI942" t="n">
        <v>2</v>
      </c>
      <c r="AJ942" t="n">
        <v>1</v>
      </c>
      <c r="AK942" t="n">
        <v>3</v>
      </c>
      <c r="AL942" t="n">
        <v>0</v>
      </c>
      <c r="AM942" t="n">
        <v>2</v>
      </c>
      <c r="AN942" t="n">
        <v>1</v>
      </c>
      <c r="AO942" t="n">
        <v>1</v>
      </c>
      <c r="AP942" t="n">
        <v>0</v>
      </c>
      <c r="AQ942" t="n">
        <v>0</v>
      </c>
      <c r="AR942" t="inlineStr">
        <is>
          <t>No</t>
        </is>
      </c>
      <c r="AS942" t="inlineStr">
        <is>
          <t>No</t>
        </is>
      </c>
      <c r="AU942">
        <f>HYPERLINK("https://creighton-primo.hosted.exlibrisgroup.com/primo-explore/search?tab=default_tab&amp;search_scope=EVERYTHING&amp;vid=01CRU&amp;lang=en_US&amp;offset=0&amp;query=any,contains,991004209299702656","Catalog Record")</f>
        <v/>
      </c>
      <c r="AV942">
        <f>HYPERLINK("http://www.worldcat.org/oclc/54067732","WorldCat Record")</f>
        <v/>
      </c>
      <c r="AW942" t="inlineStr">
        <is>
          <t>351378849:spa</t>
        </is>
      </c>
      <c r="AX942" t="inlineStr">
        <is>
          <t>54067732</t>
        </is>
      </c>
      <c r="AY942" t="inlineStr">
        <is>
          <t>991004209299702656</t>
        </is>
      </c>
      <c r="AZ942" t="inlineStr">
        <is>
          <t>991004209299702656</t>
        </is>
      </c>
      <c r="BA942" t="inlineStr">
        <is>
          <t>2267671470002656</t>
        </is>
      </c>
      <c r="BB942" t="inlineStr">
        <is>
          <t>BOOK</t>
        </is>
      </c>
      <c r="BD942" t="inlineStr">
        <is>
          <t>9789592093409</t>
        </is>
      </c>
      <c r="BE942" t="inlineStr">
        <is>
          <t>32285004633920</t>
        </is>
      </c>
      <c r="BF942" t="inlineStr">
        <is>
          <t>893229059</t>
        </is>
      </c>
    </row>
    <row r="943">
      <c r="A943" t="inlineStr">
        <is>
          <t>No</t>
        </is>
      </c>
      <c r="B943" t="inlineStr">
        <is>
          <t>CURAL</t>
        </is>
      </c>
      <c r="C943" t="inlineStr">
        <is>
          <t>SHELVES</t>
        </is>
      </c>
      <c r="D943" t="inlineStr">
        <is>
          <t>PQ7386 .I84 1999</t>
        </is>
      </c>
      <c r="E943" t="inlineStr">
        <is>
          <t>0                      PQ 7386000I  84          1999</t>
        </is>
      </c>
      <c r="F943" t="inlineStr">
        <is>
          <t>Islas en el sol / [editado por] Francisco López Sacha, José Rafael Lantigua.</t>
        </is>
      </c>
      <c r="H943" t="inlineStr">
        <is>
          <t>No</t>
        </is>
      </c>
      <c r="I943" t="inlineStr">
        <is>
          <t>1</t>
        </is>
      </c>
      <c r="J943" t="inlineStr">
        <is>
          <t>No</t>
        </is>
      </c>
      <c r="K943" t="inlineStr">
        <is>
          <t>No</t>
        </is>
      </c>
      <c r="L943" t="inlineStr">
        <is>
          <t>0</t>
        </is>
      </c>
      <c r="N943" t="inlineStr">
        <is>
          <t>El Vedado, Ciudad de La Habana : Unión de Escritores y Artistas de Cuba ; Santo Domingo, República Dominicana : Comisión Permanente de la Feria del Libro, c1996.</t>
        </is>
      </c>
      <c r="O943" t="inlineStr">
        <is>
          <t>1999</t>
        </is>
      </c>
      <c r="Q943" t="inlineStr">
        <is>
          <t>spa</t>
        </is>
      </c>
      <c r="R943" t="inlineStr">
        <is>
          <t xml:space="preserve">cu </t>
        </is>
      </c>
      <c r="S943" t="inlineStr">
        <is>
          <t>Ediciones Ferilibro ; núm. 18</t>
        </is>
      </c>
      <c r="T943" t="inlineStr">
        <is>
          <t xml:space="preserve">PQ </t>
        </is>
      </c>
      <c r="U943" t="n">
        <v>3</v>
      </c>
      <c r="V943" t="n">
        <v>3</v>
      </c>
      <c r="W943" t="inlineStr">
        <is>
          <t>2000-04-06</t>
        </is>
      </c>
      <c r="X943" t="inlineStr">
        <is>
          <t>2000-04-06</t>
        </is>
      </c>
      <c r="Y943" t="inlineStr">
        <is>
          <t>2000-01-13</t>
        </is>
      </c>
      <c r="Z943" t="inlineStr">
        <is>
          <t>2000-01-13</t>
        </is>
      </c>
      <c r="AA943" t="n">
        <v>48</v>
      </c>
      <c r="AB943" t="n">
        <v>44</v>
      </c>
      <c r="AC943" t="n">
        <v>56</v>
      </c>
      <c r="AD943" t="n">
        <v>1</v>
      </c>
      <c r="AE943" t="n">
        <v>1</v>
      </c>
      <c r="AF943" t="n">
        <v>3</v>
      </c>
      <c r="AG943" t="n">
        <v>3</v>
      </c>
      <c r="AH943" t="n">
        <v>0</v>
      </c>
      <c r="AI943" t="n">
        <v>0</v>
      </c>
      <c r="AJ943" t="n">
        <v>2</v>
      </c>
      <c r="AK943" t="n">
        <v>2</v>
      </c>
      <c r="AL943" t="n">
        <v>2</v>
      </c>
      <c r="AM943" t="n">
        <v>2</v>
      </c>
      <c r="AN943" t="n">
        <v>0</v>
      </c>
      <c r="AO943" t="n">
        <v>0</v>
      </c>
      <c r="AP943" t="n">
        <v>0</v>
      </c>
      <c r="AQ943" t="n">
        <v>0</v>
      </c>
      <c r="AR943" t="inlineStr">
        <is>
          <t>No</t>
        </is>
      </c>
      <c r="AS943" t="inlineStr">
        <is>
          <t>Yes</t>
        </is>
      </c>
      <c r="AT943">
        <f>HYPERLINK("http://catalog.hathitrust.org/Record/004048055","HathiTrust Record")</f>
        <v/>
      </c>
      <c r="AU943">
        <f>HYPERLINK("https://creighton-primo.hosted.exlibrisgroup.com/primo-explore/search?tab=default_tab&amp;search_scope=EVERYTHING&amp;vid=01CRU&amp;lang=en_US&amp;offset=0&amp;query=any,contains,991003050349702656","Catalog Record")</f>
        <v/>
      </c>
      <c r="AV943">
        <f>HYPERLINK("http://www.worldcat.org/oclc/42896372","WorldCat Record")</f>
        <v/>
      </c>
      <c r="AW943" t="inlineStr">
        <is>
          <t>476312839:spa</t>
        </is>
      </c>
      <c r="AX943" t="inlineStr">
        <is>
          <t>42896372</t>
        </is>
      </c>
      <c r="AY943" t="inlineStr">
        <is>
          <t>991003050349702656</t>
        </is>
      </c>
      <c r="AZ943" t="inlineStr">
        <is>
          <t>991003050349702656</t>
        </is>
      </c>
      <c r="BA943" t="inlineStr">
        <is>
          <t>2265169050002656</t>
        </is>
      </c>
      <c r="BB943" t="inlineStr">
        <is>
          <t>BOOK</t>
        </is>
      </c>
      <c r="BD943" t="inlineStr">
        <is>
          <t>9789592092624</t>
        </is>
      </c>
      <c r="BE943" t="inlineStr">
        <is>
          <t>32285003641536</t>
        </is>
      </c>
      <c r="BF943" t="inlineStr">
        <is>
          <t>893887089</t>
        </is>
      </c>
    </row>
    <row r="944">
      <c r="A944" t="inlineStr">
        <is>
          <t>No</t>
        </is>
      </c>
      <c r="B944" t="inlineStr">
        <is>
          <t>CURAL</t>
        </is>
      </c>
      <c r="C944" t="inlineStr">
        <is>
          <t>SHELVES</t>
        </is>
      </c>
      <c r="D944" t="inlineStr">
        <is>
          <t>PQ7389 C35 1986</t>
        </is>
      </c>
      <c r="E944" t="inlineStr">
        <is>
          <t>0                      PQ 7389000C  35          1986</t>
        </is>
      </c>
      <c r="F944" t="inlineStr">
        <is>
          <t>El Cazador / Raúl Luis [compilador] ; con un testimonio de Pepilla Naranjo, recogido por Rafael Alcides Pérez y una noveleta de Chanito Isidrón.</t>
        </is>
      </c>
      <c r="H944" t="inlineStr">
        <is>
          <t>No</t>
        </is>
      </c>
      <c r="I944" t="inlineStr">
        <is>
          <t>1</t>
        </is>
      </c>
      <c r="J944" t="inlineStr">
        <is>
          <t>No</t>
        </is>
      </c>
      <c r="K944" t="inlineStr">
        <is>
          <t>No</t>
        </is>
      </c>
      <c r="L944" t="inlineStr">
        <is>
          <t>0</t>
        </is>
      </c>
      <c r="N944" t="inlineStr">
        <is>
          <t>La Habana, Cuba : Editorial Letras Cubanas, 1986.</t>
        </is>
      </c>
      <c r="O944" t="inlineStr">
        <is>
          <t>1986</t>
        </is>
      </c>
      <c r="Q944" t="inlineStr">
        <is>
          <t>spa</t>
        </is>
      </c>
      <c r="R944" t="inlineStr">
        <is>
          <t xml:space="preserve">cu </t>
        </is>
      </c>
      <c r="T944" t="inlineStr">
        <is>
          <t xml:space="preserve">PQ </t>
        </is>
      </c>
      <c r="U944" t="n">
        <v>1</v>
      </c>
      <c r="V944" t="n">
        <v>1</v>
      </c>
      <c r="W944" t="inlineStr">
        <is>
          <t>2001-11-14</t>
        </is>
      </c>
      <c r="X944" t="inlineStr">
        <is>
          <t>2001-11-14</t>
        </is>
      </c>
      <c r="Y944" t="inlineStr">
        <is>
          <t>2001-11-13</t>
        </is>
      </c>
      <c r="Z944" t="inlineStr">
        <is>
          <t>2001-11-13</t>
        </is>
      </c>
      <c r="AA944" t="n">
        <v>14</v>
      </c>
      <c r="AB944" t="n">
        <v>11</v>
      </c>
      <c r="AC944" t="n">
        <v>12</v>
      </c>
      <c r="AD944" t="n">
        <v>1</v>
      </c>
      <c r="AE944" t="n">
        <v>1</v>
      </c>
      <c r="AF944" t="n">
        <v>0</v>
      </c>
      <c r="AG944" t="n">
        <v>0</v>
      </c>
      <c r="AH944" t="n">
        <v>0</v>
      </c>
      <c r="AI944" t="n">
        <v>0</v>
      </c>
      <c r="AJ944" t="n">
        <v>0</v>
      </c>
      <c r="AK944" t="n">
        <v>0</v>
      </c>
      <c r="AL944" t="n">
        <v>0</v>
      </c>
      <c r="AM944" t="n">
        <v>0</v>
      </c>
      <c r="AN944" t="n">
        <v>0</v>
      </c>
      <c r="AO944" t="n">
        <v>0</v>
      </c>
      <c r="AP944" t="n">
        <v>0</v>
      </c>
      <c r="AQ944" t="n">
        <v>0</v>
      </c>
      <c r="AR944" t="inlineStr">
        <is>
          <t>No</t>
        </is>
      </c>
      <c r="AS944" t="inlineStr">
        <is>
          <t>No</t>
        </is>
      </c>
      <c r="AU944">
        <f>HYPERLINK("https://creighton-primo.hosted.exlibrisgroup.com/primo-explore/search?tab=default_tab&amp;search_scope=EVERYTHING&amp;vid=01CRU&amp;lang=en_US&amp;offset=0&amp;query=any,contains,991003677789702656","Catalog Record")</f>
        <v/>
      </c>
      <c r="AV944">
        <f>HYPERLINK("http://www.worldcat.org/oclc/20342127","WorldCat Record")</f>
        <v/>
      </c>
      <c r="AW944" t="inlineStr">
        <is>
          <t>366451449:spa</t>
        </is>
      </c>
      <c r="AX944" t="inlineStr">
        <is>
          <t>20342127</t>
        </is>
      </c>
      <c r="AY944" t="inlineStr">
        <is>
          <t>991003677789702656</t>
        </is>
      </c>
      <c r="AZ944" t="inlineStr">
        <is>
          <t>991003677789702656</t>
        </is>
      </c>
      <c r="BA944" t="inlineStr">
        <is>
          <t>2269002330002656</t>
        </is>
      </c>
      <c r="BB944" t="inlineStr">
        <is>
          <t>BOOK</t>
        </is>
      </c>
      <c r="BE944" t="inlineStr">
        <is>
          <t>32285004411186</t>
        </is>
      </c>
      <c r="BF944" t="inlineStr">
        <is>
          <t>893775031</t>
        </is>
      </c>
    </row>
    <row r="945">
      <c r="A945" t="inlineStr">
        <is>
          <t>No</t>
        </is>
      </c>
      <c r="B945" t="inlineStr">
        <is>
          <t>CURAL</t>
        </is>
      </c>
      <c r="C945" t="inlineStr">
        <is>
          <t>SHELVES</t>
        </is>
      </c>
      <c r="D945" t="inlineStr">
        <is>
          <t>PQ7389.C233 A6 1999</t>
        </is>
      </c>
      <c r="E945" t="inlineStr">
        <is>
          <t>0                      PQ 7389000C  233                A  6           1999</t>
        </is>
      </c>
      <c r="F945" t="inlineStr">
        <is>
          <t>Infantería / Guillermo Cabrera Infante ; compilación, selección de textos e introducción de Nivia Montenegro y Enrico Mario Santí.</t>
        </is>
      </c>
      <c r="H945" t="inlineStr">
        <is>
          <t>No</t>
        </is>
      </c>
      <c r="I945" t="inlineStr">
        <is>
          <t>1</t>
        </is>
      </c>
      <c r="J945" t="inlineStr">
        <is>
          <t>No</t>
        </is>
      </c>
      <c r="K945" t="inlineStr">
        <is>
          <t>No</t>
        </is>
      </c>
      <c r="L945" t="inlineStr">
        <is>
          <t>0</t>
        </is>
      </c>
      <c r="M945" t="inlineStr">
        <is>
          <t>Cabrera Infante, G. (Guillermo), 1929-2005.</t>
        </is>
      </c>
      <c r="N945" t="inlineStr">
        <is>
          <t>México, D.F. : Fondo de Cultura Económica, 1999.</t>
        </is>
      </c>
      <c r="O945" t="inlineStr">
        <is>
          <t>1999</t>
        </is>
      </c>
      <c r="P945" t="inlineStr">
        <is>
          <t>1. ed.</t>
        </is>
      </c>
      <c r="Q945" t="inlineStr">
        <is>
          <t>spa</t>
        </is>
      </c>
      <c r="R945" t="inlineStr">
        <is>
          <t xml:space="preserve">mx </t>
        </is>
      </c>
      <c r="S945" t="inlineStr">
        <is>
          <t>Colección Tierra firme</t>
        </is>
      </c>
      <c r="T945" t="inlineStr">
        <is>
          <t xml:space="preserve">PQ </t>
        </is>
      </c>
      <c r="U945" t="n">
        <v>1</v>
      </c>
      <c r="V945" t="n">
        <v>1</v>
      </c>
      <c r="W945" t="inlineStr">
        <is>
          <t>2000-09-19</t>
        </is>
      </c>
      <c r="X945" t="inlineStr">
        <is>
          <t>2000-09-19</t>
        </is>
      </c>
      <c r="Y945" t="inlineStr">
        <is>
          <t>2000-09-19</t>
        </is>
      </c>
      <c r="Z945" t="inlineStr">
        <is>
          <t>2000-09-19</t>
        </is>
      </c>
      <c r="AA945" t="n">
        <v>134</v>
      </c>
      <c r="AB945" t="n">
        <v>109</v>
      </c>
      <c r="AC945" t="n">
        <v>117</v>
      </c>
      <c r="AD945" t="n">
        <v>1</v>
      </c>
      <c r="AE945" t="n">
        <v>1</v>
      </c>
      <c r="AF945" t="n">
        <v>4</v>
      </c>
      <c r="AG945" t="n">
        <v>4</v>
      </c>
      <c r="AH945" t="n">
        <v>1</v>
      </c>
      <c r="AI945" t="n">
        <v>1</v>
      </c>
      <c r="AJ945" t="n">
        <v>1</v>
      </c>
      <c r="AK945" t="n">
        <v>1</v>
      </c>
      <c r="AL945" t="n">
        <v>3</v>
      </c>
      <c r="AM945" t="n">
        <v>3</v>
      </c>
      <c r="AN945" t="n">
        <v>0</v>
      </c>
      <c r="AO945" t="n">
        <v>0</v>
      </c>
      <c r="AP945" t="n">
        <v>0</v>
      </c>
      <c r="AQ945" t="n">
        <v>0</v>
      </c>
      <c r="AR945" t="inlineStr">
        <is>
          <t>No</t>
        </is>
      </c>
      <c r="AS945" t="inlineStr">
        <is>
          <t>Yes</t>
        </is>
      </c>
      <c r="AT945">
        <f>HYPERLINK("http://catalog.hathitrust.org/Record/004088117","HathiTrust Record")</f>
        <v/>
      </c>
      <c r="AU945">
        <f>HYPERLINK("https://creighton-primo.hosted.exlibrisgroup.com/primo-explore/search?tab=default_tab&amp;search_scope=EVERYTHING&amp;vid=01CRU&amp;lang=en_US&amp;offset=0&amp;query=any,contains,991003253729702656","Catalog Record")</f>
        <v/>
      </c>
      <c r="AV945">
        <f>HYPERLINK("http://www.worldcat.org/oclc/43869301","WorldCat Record")</f>
        <v/>
      </c>
      <c r="AW945" t="inlineStr">
        <is>
          <t>46484380:spa</t>
        </is>
      </c>
      <c r="AX945" t="inlineStr">
        <is>
          <t>43869301</t>
        </is>
      </c>
      <c r="AY945" t="inlineStr">
        <is>
          <t>991003253729702656</t>
        </is>
      </c>
      <c r="AZ945" t="inlineStr">
        <is>
          <t>991003253729702656</t>
        </is>
      </c>
      <c r="BA945" t="inlineStr">
        <is>
          <t>2271575860002656</t>
        </is>
      </c>
      <c r="BB945" t="inlineStr">
        <is>
          <t>BOOK</t>
        </is>
      </c>
      <c r="BD945" t="inlineStr">
        <is>
          <t>9789681658465</t>
        </is>
      </c>
      <c r="BE945" t="inlineStr">
        <is>
          <t>32285003763090</t>
        </is>
      </c>
      <c r="BF945" t="inlineStr">
        <is>
          <t>893410088</t>
        </is>
      </c>
    </row>
    <row r="946">
      <c r="A946" t="inlineStr">
        <is>
          <t>No</t>
        </is>
      </c>
      <c r="B946" t="inlineStr">
        <is>
          <t>CURAL</t>
        </is>
      </c>
      <c r="C946" t="inlineStr">
        <is>
          <t>SHELVES</t>
        </is>
      </c>
      <c r="D946" t="inlineStr">
        <is>
          <t>PQ7389.C263 G37 1984</t>
        </is>
      </c>
      <c r="E946" t="inlineStr">
        <is>
          <t>0                      PQ 7389000C  263                G  37          1984</t>
        </is>
      </c>
      <c r="F946" t="inlineStr">
        <is>
          <t>Biobibliografaia de Alejo Carpentier / Araceli Garcaia-Carranza.</t>
        </is>
      </c>
      <c r="H946" t="inlineStr">
        <is>
          <t>No</t>
        </is>
      </c>
      <c r="I946" t="inlineStr">
        <is>
          <t>1</t>
        </is>
      </c>
      <c r="J946" t="inlineStr">
        <is>
          <t>No</t>
        </is>
      </c>
      <c r="K946" t="inlineStr">
        <is>
          <t>No</t>
        </is>
      </c>
      <c r="L946" t="inlineStr">
        <is>
          <t>0</t>
        </is>
      </c>
      <c r="M946" t="inlineStr">
        <is>
          <t>Garcaia-Carranza, Araceli.</t>
        </is>
      </c>
      <c r="N946" t="inlineStr">
        <is>
          <t>Ciudad de La Habana, Cuba : Editorial Letras Cubanas, 1984.</t>
        </is>
      </c>
      <c r="O946" t="inlineStr">
        <is>
          <t>1984</t>
        </is>
      </c>
      <c r="Q946" t="inlineStr">
        <is>
          <t>spa</t>
        </is>
      </c>
      <c r="R946" t="inlineStr">
        <is>
          <t xml:space="preserve">cu </t>
        </is>
      </c>
      <c r="T946" t="inlineStr">
        <is>
          <t xml:space="preserve">PQ </t>
        </is>
      </c>
      <c r="U946" t="n">
        <v>2</v>
      </c>
      <c r="V946" t="n">
        <v>2</v>
      </c>
      <c r="W946" t="inlineStr">
        <is>
          <t>2004-08-04</t>
        </is>
      </c>
      <c r="X946" t="inlineStr">
        <is>
          <t>2004-08-04</t>
        </is>
      </c>
      <c r="Y946" t="inlineStr">
        <is>
          <t>2004-08-04</t>
        </is>
      </c>
      <c r="Z946" t="inlineStr">
        <is>
          <t>2004-08-04</t>
        </is>
      </c>
      <c r="AA946" t="n">
        <v>124</v>
      </c>
      <c r="AB946" t="n">
        <v>84</v>
      </c>
      <c r="AC946" t="n">
        <v>86</v>
      </c>
      <c r="AD946" t="n">
        <v>1</v>
      </c>
      <c r="AE946" t="n">
        <v>1</v>
      </c>
      <c r="AF946" t="n">
        <v>3</v>
      </c>
      <c r="AG946" t="n">
        <v>3</v>
      </c>
      <c r="AH946" t="n">
        <v>0</v>
      </c>
      <c r="AI946" t="n">
        <v>0</v>
      </c>
      <c r="AJ946" t="n">
        <v>2</v>
      </c>
      <c r="AK946" t="n">
        <v>2</v>
      </c>
      <c r="AL946" t="n">
        <v>2</v>
      </c>
      <c r="AM946" t="n">
        <v>2</v>
      </c>
      <c r="AN946" t="n">
        <v>0</v>
      </c>
      <c r="AO946" t="n">
        <v>0</v>
      </c>
      <c r="AP946" t="n">
        <v>0</v>
      </c>
      <c r="AQ946" t="n">
        <v>0</v>
      </c>
      <c r="AR946" t="inlineStr">
        <is>
          <t>No</t>
        </is>
      </c>
      <c r="AS946" t="inlineStr">
        <is>
          <t>Yes</t>
        </is>
      </c>
      <c r="AT946">
        <f>HYPERLINK("http://catalog.hathitrust.org/Record/002727642","HathiTrust Record")</f>
        <v/>
      </c>
      <c r="AU946">
        <f>HYPERLINK("https://creighton-primo.hosted.exlibrisgroup.com/primo-explore/search?tab=default_tab&amp;search_scope=EVERYTHING&amp;vid=01CRU&amp;lang=en_US&amp;offset=0&amp;query=any,contains,991004336489702656","Catalog Record")</f>
        <v/>
      </c>
      <c r="AV946">
        <f>HYPERLINK("http://www.worldcat.org/oclc/12403792","WorldCat Record")</f>
        <v/>
      </c>
      <c r="AW946" t="inlineStr">
        <is>
          <t>4851842:spa</t>
        </is>
      </c>
      <c r="AX946" t="inlineStr">
        <is>
          <t>12403792</t>
        </is>
      </c>
      <c r="AY946" t="inlineStr">
        <is>
          <t>991004336489702656</t>
        </is>
      </c>
      <c r="AZ946" t="inlineStr">
        <is>
          <t>991004336489702656</t>
        </is>
      </c>
      <c r="BA946" t="inlineStr">
        <is>
          <t>2257718100002656</t>
        </is>
      </c>
      <c r="BB946" t="inlineStr">
        <is>
          <t>BOOK</t>
        </is>
      </c>
      <c r="BE946" t="inlineStr">
        <is>
          <t>32285004927793</t>
        </is>
      </c>
      <c r="BF946" t="inlineStr">
        <is>
          <t>893442499</t>
        </is>
      </c>
    </row>
    <row r="947">
      <c r="A947" t="inlineStr">
        <is>
          <t>No</t>
        </is>
      </c>
      <c r="B947" t="inlineStr">
        <is>
          <t>CURAL</t>
        </is>
      </c>
      <c r="C947" t="inlineStr">
        <is>
          <t>SHELVES</t>
        </is>
      </c>
      <c r="D947" t="inlineStr">
        <is>
          <t>PQ7389.C263 Z578 1988</t>
        </is>
      </c>
      <c r="E947" t="inlineStr">
        <is>
          <t>0                      PQ 7389000C  263                Z  578         1988</t>
        </is>
      </c>
      <c r="F947" t="inlineStr">
        <is>
          <t>Magias y maravillas en el continente literario : para un deslinde del realismo mágico y lo real maravilloso / Víctor Bravo.</t>
        </is>
      </c>
      <c r="H947" t="inlineStr">
        <is>
          <t>No</t>
        </is>
      </c>
      <c r="I947" t="inlineStr">
        <is>
          <t>1</t>
        </is>
      </c>
      <c r="J947" t="inlineStr">
        <is>
          <t>No</t>
        </is>
      </c>
      <c r="K947" t="inlineStr">
        <is>
          <t>No</t>
        </is>
      </c>
      <c r="L947" t="inlineStr">
        <is>
          <t>0</t>
        </is>
      </c>
      <c r="M947" t="inlineStr">
        <is>
          <t>Bravo, Víctor, 1949-</t>
        </is>
      </c>
      <c r="N947" t="inlineStr">
        <is>
          <t>Caracas : Ediciones La Casa de Bello, c1988.</t>
        </is>
      </c>
      <c r="O947" t="inlineStr">
        <is>
          <t>1988</t>
        </is>
      </c>
      <c r="P947" t="inlineStr">
        <is>
          <t>1a ed.</t>
        </is>
      </c>
      <c r="Q947" t="inlineStr">
        <is>
          <t>spa</t>
        </is>
      </c>
      <c r="R947" t="inlineStr">
        <is>
          <t xml:space="preserve">ve </t>
        </is>
      </c>
      <c r="S947" t="inlineStr">
        <is>
          <t>Colección Zona tórrida ; 10. Letras universitarias</t>
        </is>
      </c>
      <c r="T947" t="inlineStr">
        <is>
          <t xml:space="preserve">PQ </t>
        </is>
      </c>
      <c r="U947" t="n">
        <v>1</v>
      </c>
      <c r="V947" t="n">
        <v>1</v>
      </c>
      <c r="W947" t="inlineStr">
        <is>
          <t>2002-06-13</t>
        </is>
      </c>
      <c r="X947" t="inlineStr">
        <is>
          <t>2002-06-13</t>
        </is>
      </c>
      <c r="Y947" t="inlineStr">
        <is>
          <t>2002-06-13</t>
        </is>
      </c>
      <c r="Z947" t="inlineStr">
        <is>
          <t>2002-06-13</t>
        </is>
      </c>
      <c r="AA947" t="n">
        <v>79</v>
      </c>
      <c r="AB947" t="n">
        <v>54</v>
      </c>
      <c r="AC947" t="n">
        <v>55</v>
      </c>
      <c r="AD947" t="n">
        <v>1</v>
      </c>
      <c r="AE947" t="n">
        <v>1</v>
      </c>
      <c r="AF947" t="n">
        <v>0</v>
      </c>
      <c r="AG947" t="n">
        <v>0</v>
      </c>
      <c r="AH947" t="n">
        <v>0</v>
      </c>
      <c r="AI947" t="n">
        <v>0</v>
      </c>
      <c r="AJ947" t="n">
        <v>0</v>
      </c>
      <c r="AK947" t="n">
        <v>0</v>
      </c>
      <c r="AL947" t="n">
        <v>0</v>
      </c>
      <c r="AM947" t="n">
        <v>0</v>
      </c>
      <c r="AN947" t="n">
        <v>0</v>
      </c>
      <c r="AO947" t="n">
        <v>0</v>
      </c>
      <c r="AP947" t="n">
        <v>0</v>
      </c>
      <c r="AQ947" t="n">
        <v>0</v>
      </c>
      <c r="AR947" t="inlineStr">
        <is>
          <t>No</t>
        </is>
      </c>
      <c r="AS947" t="inlineStr">
        <is>
          <t>No</t>
        </is>
      </c>
      <c r="AU947">
        <f>HYPERLINK("https://creighton-primo.hosted.exlibrisgroup.com/primo-explore/search?tab=default_tab&amp;search_scope=EVERYTHING&amp;vid=01CRU&amp;lang=en_US&amp;offset=0&amp;query=any,contains,991003818449702656","Catalog Record")</f>
        <v/>
      </c>
      <c r="AV947">
        <f>HYPERLINK("http://www.worldcat.org/oclc/20492093","WorldCat Record")</f>
        <v/>
      </c>
      <c r="AW947" t="inlineStr">
        <is>
          <t>320366827:spa</t>
        </is>
      </c>
      <c r="AX947" t="inlineStr">
        <is>
          <t>20492093</t>
        </is>
      </c>
      <c r="AY947" t="inlineStr">
        <is>
          <t>991003818449702656</t>
        </is>
      </c>
      <c r="AZ947" t="inlineStr">
        <is>
          <t>991003818449702656</t>
        </is>
      </c>
      <c r="BA947" t="inlineStr">
        <is>
          <t>2270322580002656</t>
        </is>
      </c>
      <c r="BB947" t="inlineStr">
        <is>
          <t>BOOK</t>
        </is>
      </c>
      <c r="BD947" t="inlineStr">
        <is>
          <t>9789802140381</t>
        </is>
      </c>
      <c r="BE947" t="inlineStr">
        <is>
          <t>32285004494158</t>
        </is>
      </c>
      <c r="BF947" t="inlineStr">
        <is>
          <t>893806250</t>
        </is>
      </c>
    </row>
    <row r="948">
      <c r="A948" t="inlineStr">
        <is>
          <t>No</t>
        </is>
      </c>
      <c r="B948" t="inlineStr">
        <is>
          <t>CURAL</t>
        </is>
      </c>
      <c r="C948" t="inlineStr">
        <is>
          <t>SHELVES</t>
        </is>
      </c>
      <c r="D948" t="inlineStr">
        <is>
          <t>PQ7389.C263 Z69 1990</t>
        </is>
      </c>
      <c r="E948" t="inlineStr">
        <is>
          <t>0                      PQ 7389000C  263                Z  69          1990</t>
        </is>
      </c>
      <c r="F948" t="inlineStr">
        <is>
          <t>Alejo Carpentier, the pilgrim at home / Roberto González Echevarría.</t>
        </is>
      </c>
      <c r="H948" t="inlineStr">
        <is>
          <t>No</t>
        </is>
      </c>
      <c r="I948" t="inlineStr">
        <is>
          <t>1</t>
        </is>
      </c>
      <c r="J948" t="inlineStr">
        <is>
          <t>No</t>
        </is>
      </c>
      <c r="K948" t="inlineStr">
        <is>
          <t>No</t>
        </is>
      </c>
      <c r="L948" t="inlineStr">
        <is>
          <t>0</t>
        </is>
      </c>
      <c r="M948" t="inlineStr">
        <is>
          <t>González Echevarría, Roberto.</t>
        </is>
      </c>
      <c r="N948" t="inlineStr">
        <is>
          <t>Austin : University of Texas Press, 1990.</t>
        </is>
      </c>
      <c r="O948" t="inlineStr">
        <is>
          <t>1990</t>
        </is>
      </c>
      <c r="P948" t="inlineStr">
        <is>
          <t>1st University of Texas Press ed.</t>
        </is>
      </c>
      <c r="Q948" t="inlineStr">
        <is>
          <t>eng</t>
        </is>
      </c>
      <c r="R948" t="inlineStr">
        <is>
          <t>txu</t>
        </is>
      </c>
      <c r="S948" t="inlineStr">
        <is>
          <t>Texas Pan American series</t>
        </is>
      </c>
      <c r="T948" t="inlineStr">
        <is>
          <t xml:space="preserve">PQ </t>
        </is>
      </c>
      <c r="U948" t="n">
        <v>0</v>
      </c>
      <c r="V948" t="n">
        <v>0</v>
      </c>
      <c r="W948" t="inlineStr">
        <is>
          <t>2002-05-10</t>
        </is>
      </c>
      <c r="X948" t="inlineStr">
        <is>
          <t>2002-05-10</t>
        </is>
      </c>
      <c r="Y948" t="inlineStr">
        <is>
          <t>1995-09-10</t>
        </is>
      </c>
      <c r="Z948" t="inlineStr">
        <is>
          <t>1995-09-10</t>
        </is>
      </c>
      <c r="AA948" t="n">
        <v>247</v>
      </c>
      <c r="AB948" t="n">
        <v>219</v>
      </c>
      <c r="AC948" t="n">
        <v>612</v>
      </c>
      <c r="AD948" t="n">
        <v>2</v>
      </c>
      <c r="AE948" t="n">
        <v>4</v>
      </c>
      <c r="AF948" t="n">
        <v>12</v>
      </c>
      <c r="AG948" t="n">
        <v>36</v>
      </c>
      <c r="AH948" t="n">
        <v>3</v>
      </c>
      <c r="AI948" t="n">
        <v>14</v>
      </c>
      <c r="AJ948" t="n">
        <v>2</v>
      </c>
      <c r="AK948" t="n">
        <v>9</v>
      </c>
      <c r="AL948" t="n">
        <v>9</v>
      </c>
      <c r="AM948" t="n">
        <v>20</v>
      </c>
      <c r="AN948" t="n">
        <v>1</v>
      </c>
      <c r="AO948" t="n">
        <v>3</v>
      </c>
      <c r="AP948" t="n">
        <v>0</v>
      </c>
      <c r="AQ948" t="n">
        <v>0</v>
      </c>
      <c r="AR948" t="inlineStr">
        <is>
          <t>No</t>
        </is>
      </c>
      <c r="AS948" t="inlineStr">
        <is>
          <t>Yes</t>
        </is>
      </c>
      <c r="AT948">
        <f>HYPERLINK("http://catalog.hathitrust.org/Record/008321760","HathiTrust Record")</f>
        <v/>
      </c>
      <c r="AU948">
        <f>HYPERLINK("https://creighton-primo.hosted.exlibrisgroup.com/primo-explore/search?tab=default_tab&amp;search_scope=EVERYTHING&amp;vid=01CRU&amp;lang=en_US&amp;offset=0&amp;query=any,contains,991001811569702656","Catalog Record")</f>
        <v/>
      </c>
      <c r="AV948">
        <f>HYPERLINK("http://www.worldcat.org/oclc/22756633","WorldCat Record")</f>
        <v/>
      </c>
      <c r="AW948" t="inlineStr">
        <is>
          <t>796152195:eng</t>
        </is>
      </c>
      <c r="AX948" t="inlineStr">
        <is>
          <t>22756633</t>
        </is>
      </c>
      <c r="AY948" t="inlineStr">
        <is>
          <t>991001811569702656</t>
        </is>
      </c>
      <c r="AZ948" t="inlineStr">
        <is>
          <t>991001811569702656</t>
        </is>
      </c>
      <c r="BA948" t="inlineStr">
        <is>
          <t>2270312970002656</t>
        </is>
      </c>
      <c r="BB948" t="inlineStr">
        <is>
          <t>BOOK</t>
        </is>
      </c>
      <c r="BD948" t="inlineStr">
        <is>
          <t>9780292704176</t>
        </is>
      </c>
      <c r="BE948" t="inlineStr">
        <is>
          <t>32285002093176</t>
        </is>
      </c>
      <c r="BF948" t="inlineStr">
        <is>
          <t>893439466</t>
        </is>
      </c>
    </row>
    <row r="949">
      <c r="A949" t="inlineStr">
        <is>
          <t>No</t>
        </is>
      </c>
      <c r="B949" t="inlineStr">
        <is>
          <t>CURAL</t>
        </is>
      </c>
      <c r="C949" t="inlineStr">
        <is>
          <t>SHELVES</t>
        </is>
      </c>
      <c r="D949" t="inlineStr">
        <is>
          <t>PQ7389.C263 Z76 1982</t>
        </is>
      </c>
      <c r="E949" t="inlineStr">
        <is>
          <t>0                      PQ 7389000C  263                Z  76          1982</t>
        </is>
      </c>
      <c r="F949" t="inlineStr">
        <is>
          <t>Lo barroco y lo real-maravilloso en la obra de Alejo Carpentier / Alexis Márquez Rodríguez.</t>
        </is>
      </c>
      <c r="H949" t="inlineStr">
        <is>
          <t>No</t>
        </is>
      </c>
      <c r="I949" t="inlineStr">
        <is>
          <t>1</t>
        </is>
      </c>
      <c r="J949" t="inlineStr">
        <is>
          <t>No</t>
        </is>
      </c>
      <c r="K949" t="inlineStr">
        <is>
          <t>No</t>
        </is>
      </c>
      <c r="L949" t="inlineStr">
        <is>
          <t>0</t>
        </is>
      </c>
      <c r="M949" t="inlineStr">
        <is>
          <t>Márquez Rodríguez, Alexis.</t>
        </is>
      </c>
      <c r="N949" t="inlineStr">
        <is>
          <t>México, D.F. : Siglo Veintiuno Editores, c1982.</t>
        </is>
      </c>
      <c r="O949" t="inlineStr">
        <is>
          <t>1982</t>
        </is>
      </c>
      <c r="P949" t="inlineStr">
        <is>
          <t>1a ed.</t>
        </is>
      </c>
      <c r="Q949" t="inlineStr">
        <is>
          <t>spa</t>
        </is>
      </c>
      <c r="R949" t="inlineStr">
        <is>
          <t xml:space="preserve">mx </t>
        </is>
      </c>
      <c r="S949" t="inlineStr">
        <is>
          <t>La Creación literaria</t>
        </is>
      </c>
      <c r="T949" t="inlineStr">
        <is>
          <t xml:space="preserve">PQ </t>
        </is>
      </c>
      <c r="U949" t="n">
        <v>0</v>
      </c>
      <c r="V949" t="n">
        <v>0</v>
      </c>
      <c r="W949" t="inlineStr">
        <is>
          <t>2004-10-01</t>
        </is>
      </c>
      <c r="X949" t="inlineStr">
        <is>
          <t>2004-10-01</t>
        </is>
      </c>
      <c r="Y949" t="inlineStr">
        <is>
          <t>1996-06-24</t>
        </is>
      </c>
      <c r="Z949" t="inlineStr">
        <is>
          <t>1996-06-24</t>
        </is>
      </c>
      <c r="AA949" t="n">
        <v>215</v>
      </c>
      <c r="AB949" t="n">
        <v>164</v>
      </c>
      <c r="AC949" t="n">
        <v>197</v>
      </c>
      <c r="AD949" t="n">
        <v>1</v>
      </c>
      <c r="AE949" t="n">
        <v>1</v>
      </c>
      <c r="AF949" t="n">
        <v>9</v>
      </c>
      <c r="AG949" t="n">
        <v>11</v>
      </c>
      <c r="AH949" t="n">
        <v>2</v>
      </c>
      <c r="AI949" t="n">
        <v>2</v>
      </c>
      <c r="AJ949" t="n">
        <v>3</v>
      </c>
      <c r="AK949" t="n">
        <v>5</v>
      </c>
      <c r="AL949" t="n">
        <v>6</v>
      </c>
      <c r="AM949" t="n">
        <v>7</v>
      </c>
      <c r="AN949" t="n">
        <v>0</v>
      </c>
      <c r="AO949" t="n">
        <v>0</v>
      </c>
      <c r="AP949" t="n">
        <v>0</v>
      </c>
      <c r="AQ949" t="n">
        <v>0</v>
      </c>
      <c r="AR949" t="inlineStr">
        <is>
          <t>No</t>
        </is>
      </c>
      <c r="AS949" t="inlineStr">
        <is>
          <t>Yes</t>
        </is>
      </c>
      <c r="AT949">
        <f>HYPERLINK("http://catalog.hathitrust.org/Record/101103217","HathiTrust Record")</f>
        <v/>
      </c>
      <c r="AU949">
        <f>HYPERLINK("https://creighton-primo.hosted.exlibrisgroup.com/primo-explore/search?tab=default_tab&amp;search_scope=EVERYTHING&amp;vid=01CRU&amp;lang=en_US&amp;offset=0&amp;query=any,contains,991000814259702656","Catalog Record")</f>
        <v/>
      </c>
      <c r="AV949">
        <f>HYPERLINK("http://www.worldcat.org/oclc/13334417","WorldCat Record")</f>
        <v/>
      </c>
      <c r="AW949" t="inlineStr">
        <is>
          <t>352625625:spa</t>
        </is>
      </c>
      <c r="AX949" t="inlineStr">
        <is>
          <t>13334417</t>
        </is>
      </c>
      <c r="AY949" t="inlineStr">
        <is>
          <t>991000814259702656</t>
        </is>
      </c>
      <c r="AZ949" t="inlineStr">
        <is>
          <t>991000814259702656</t>
        </is>
      </c>
      <c r="BA949" t="inlineStr">
        <is>
          <t>2263917020002656</t>
        </is>
      </c>
      <c r="BB949" t="inlineStr">
        <is>
          <t>BOOK</t>
        </is>
      </c>
      <c r="BD949" t="inlineStr">
        <is>
          <t>9789682311727</t>
        </is>
      </c>
      <c r="BE949" t="inlineStr">
        <is>
          <t>32285002172160</t>
        </is>
      </c>
      <c r="BF949" t="inlineStr">
        <is>
          <t>893432320</t>
        </is>
      </c>
    </row>
    <row r="950">
      <c r="A950" t="inlineStr">
        <is>
          <t>No</t>
        </is>
      </c>
      <c r="B950" t="inlineStr">
        <is>
          <t>CURAL</t>
        </is>
      </c>
      <c r="C950" t="inlineStr">
        <is>
          <t>SHELVES</t>
        </is>
      </c>
      <c r="D950" t="inlineStr">
        <is>
          <t>PQ7389.C263 Z77 1970</t>
        </is>
      </c>
      <c r="E950" t="inlineStr">
        <is>
          <t>0                      PQ 7389000C  263                Z  77          1970</t>
        </is>
      </c>
      <c r="F950" t="inlineStr">
        <is>
          <t>La obra narrativa de Alejo Carpentier / Alexis Márquez Rodríguez.</t>
        </is>
      </c>
      <c r="H950" t="inlineStr">
        <is>
          <t>No</t>
        </is>
      </c>
      <c r="I950" t="inlineStr">
        <is>
          <t>1</t>
        </is>
      </c>
      <c r="J950" t="inlineStr">
        <is>
          <t>No</t>
        </is>
      </c>
      <c r="K950" t="inlineStr">
        <is>
          <t>No</t>
        </is>
      </c>
      <c r="L950" t="inlineStr">
        <is>
          <t>0</t>
        </is>
      </c>
      <c r="M950" t="inlineStr">
        <is>
          <t>Márquez Rodríguez, Alexis.</t>
        </is>
      </c>
      <c r="N950" t="inlineStr">
        <is>
          <t>[Caracas] Ediciones de la Biblioteca : Universidad Central de Venezuela, [1970]</t>
        </is>
      </c>
      <c r="O950" t="inlineStr">
        <is>
          <t>1970</t>
        </is>
      </c>
      <c r="Q950" t="inlineStr">
        <is>
          <t>spa</t>
        </is>
      </c>
      <c r="R950" t="inlineStr">
        <is>
          <t xml:space="preserve">ve </t>
        </is>
      </c>
      <c r="S950" t="inlineStr">
        <is>
          <t>Colección Temas ; 35</t>
        </is>
      </c>
      <c r="T950" t="inlineStr">
        <is>
          <t xml:space="preserve">PQ </t>
        </is>
      </c>
      <c r="U950" t="n">
        <v>1</v>
      </c>
      <c r="V950" t="n">
        <v>1</v>
      </c>
      <c r="W950" t="inlineStr">
        <is>
          <t>2004-08-02</t>
        </is>
      </c>
      <c r="X950" t="inlineStr">
        <is>
          <t>2004-08-02</t>
        </is>
      </c>
      <c r="Y950" t="inlineStr">
        <is>
          <t>2004-08-02</t>
        </is>
      </c>
      <c r="Z950" t="inlineStr">
        <is>
          <t>2004-08-02</t>
        </is>
      </c>
      <c r="AA950" t="n">
        <v>294</v>
      </c>
      <c r="AB950" t="n">
        <v>237</v>
      </c>
      <c r="AC950" t="n">
        <v>239</v>
      </c>
      <c r="AD950" t="n">
        <v>3</v>
      </c>
      <c r="AE950" t="n">
        <v>3</v>
      </c>
      <c r="AF950" t="n">
        <v>15</v>
      </c>
      <c r="AG950" t="n">
        <v>15</v>
      </c>
      <c r="AH950" t="n">
        <v>4</v>
      </c>
      <c r="AI950" t="n">
        <v>4</v>
      </c>
      <c r="AJ950" t="n">
        <v>5</v>
      </c>
      <c r="AK950" t="n">
        <v>5</v>
      </c>
      <c r="AL950" t="n">
        <v>7</v>
      </c>
      <c r="AM950" t="n">
        <v>7</v>
      </c>
      <c r="AN950" t="n">
        <v>2</v>
      </c>
      <c r="AO950" t="n">
        <v>2</v>
      </c>
      <c r="AP950" t="n">
        <v>0</v>
      </c>
      <c r="AQ950" t="n">
        <v>0</v>
      </c>
      <c r="AR950" t="inlineStr">
        <is>
          <t>No</t>
        </is>
      </c>
      <c r="AS950" t="inlineStr">
        <is>
          <t>Yes</t>
        </is>
      </c>
      <c r="AT950">
        <f>HYPERLINK("http://catalog.hathitrust.org/Record/001050408","HathiTrust Record")</f>
        <v/>
      </c>
      <c r="AU950">
        <f>HYPERLINK("https://creighton-primo.hosted.exlibrisgroup.com/primo-explore/search?tab=default_tab&amp;search_scope=EVERYTHING&amp;vid=01CRU&amp;lang=en_US&amp;offset=0&amp;query=any,contains,991004332749702656","Catalog Record")</f>
        <v/>
      </c>
      <c r="AV950">
        <f>HYPERLINK("http://www.worldcat.org/oclc/21622216","WorldCat Record")</f>
        <v/>
      </c>
      <c r="AW950" t="inlineStr">
        <is>
          <t>365216084:spa</t>
        </is>
      </c>
      <c r="AX950" t="inlineStr">
        <is>
          <t>21622216</t>
        </is>
      </c>
      <c r="AY950" t="inlineStr">
        <is>
          <t>991004332749702656</t>
        </is>
      </c>
      <c r="AZ950" t="inlineStr">
        <is>
          <t>991004332749702656</t>
        </is>
      </c>
      <c r="BA950" t="inlineStr">
        <is>
          <t>2266375380002656</t>
        </is>
      </c>
      <c r="BB950" t="inlineStr">
        <is>
          <t>BOOK</t>
        </is>
      </c>
      <c r="BE950" t="inlineStr">
        <is>
          <t>32285004927082</t>
        </is>
      </c>
      <c r="BF950" t="inlineStr">
        <is>
          <t>893423674</t>
        </is>
      </c>
    </row>
    <row r="951">
      <c r="A951" t="inlineStr">
        <is>
          <t>No</t>
        </is>
      </c>
      <c r="B951" t="inlineStr">
        <is>
          <t>CURAL</t>
        </is>
      </c>
      <c r="C951" t="inlineStr">
        <is>
          <t>SHELVES</t>
        </is>
      </c>
      <c r="D951" t="inlineStr">
        <is>
          <t>PQ7389.C263 Z772 1992</t>
        </is>
      </c>
      <c r="E951" t="inlineStr">
        <is>
          <t>0                      PQ 7389000C  263                Z  772         1992</t>
        </is>
      </c>
      <c r="F951" t="inlineStr">
        <is>
          <t>Ocho veces Alejo Carpentier / Alexis Márquez Rodríguez.</t>
        </is>
      </c>
      <c r="H951" t="inlineStr">
        <is>
          <t>No</t>
        </is>
      </c>
      <c r="I951" t="inlineStr">
        <is>
          <t>1</t>
        </is>
      </c>
      <c r="J951" t="inlineStr">
        <is>
          <t>No</t>
        </is>
      </c>
      <c r="K951" t="inlineStr">
        <is>
          <t>No</t>
        </is>
      </c>
      <c r="L951" t="inlineStr">
        <is>
          <t>0</t>
        </is>
      </c>
      <c r="M951" t="inlineStr">
        <is>
          <t>Márquez Rodríguez, Alexis.</t>
        </is>
      </c>
      <c r="N951" t="inlineStr">
        <is>
          <t>[Caracas?] : Grijalbo, c1992.</t>
        </is>
      </c>
      <c r="O951" t="inlineStr">
        <is>
          <t>1992</t>
        </is>
      </c>
      <c r="P951" t="inlineStr">
        <is>
          <t>1ra. ed. venezolana.</t>
        </is>
      </c>
      <c r="Q951" t="inlineStr">
        <is>
          <t>spa</t>
        </is>
      </c>
      <c r="R951" t="inlineStr">
        <is>
          <t xml:space="preserve">ve </t>
        </is>
      </c>
      <c r="S951" t="inlineStr">
        <is>
          <t>Tientos y diferencias</t>
        </is>
      </c>
      <c r="T951" t="inlineStr">
        <is>
          <t xml:space="preserve">PQ </t>
        </is>
      </c>
      <c r="U951" t="n">
        <v>1</v>
      </c>
      <c r="V951" t="n">
        <v>1</v>
      </c>
      <c r="W951" t="inlineStr">
        <is>
          <t>2002-07-29</t>
        </is>
      </c>
      <c r="X951" t="inlineStr">
        <is>
          <t>2002-07-29</t>
        </is>
      </c>
      <c r="Y951" t="inlineStr">
        <is>
          <t>2002-07-29</t>
        </is>
      </c>
      <c r="Z951" t="inlineStr">
        <is>
          <t>2002-07-29</t>
        </is>
      </c>
      <c r="AA951" t="n">
        <v>60</v>
      </c>
      <c r="AB951" t="n">
        <v>51</v>
      </c>
      <c r="AC951" t="n">
        <v>54</v>
      </c>
      <c r="AD951" t="n">
        <v>1</v>
      </c>
      <c r="AE951" t="n">
        <v>1</v>
      </c>
      <c r="AF951" t="n">
        <v>2</v>
      </c>
      <c r="AG951" t="n">
        <v>2</v>
      </c>
      <c r="AH951" t="n">
        <v>1</v>
      </c>
      <c r="AI951" t="n">
        <v>1</v>
      </c>
      <c r="AJ951" t="n">
        <v>1</v>
      </c>
      <c r="AK951" t="n">
        <v>1</v>
      </c>
      <c r="AL951" t="n">
        <v>1</v>
      </c>
      <c r="AM951" t="n">
        <v>1</v>
      </c>
      <c r="AN951" t="n">
        <v>0</v>
      </c>
      <c r="AO951" t="n">
        <v>0</v>
      </c>
      <c r="AP951" t="n">
        <v>0</v>
      </c>
      <c r="AQ951" t="n">
        <v>0</v>
      </c>
      <c r="AR951" t="inlineStr">
        <is>
          <t>No</t>
        </is>
      </c>
      <c r="AS951" t="inlineStr">
        <is>
          <t>Yes</t>
        </is>
      </c>
      <c r="AT951">
        <f>HYPERLINK("http://catalog.hathitrust.org/Record/101103220","HathiTrust Record")</f>
        <v/>
      </c>
      <c r="AU951">
        <f>HYPERLINK("https://creighton-primo.hosted.exlibrisgroup.com/primo-explore/search?tab=default_tab&amp;search_scope=EVERYTHING&amp;vid=01CRU&amp;lang=en_US&amp;offset=0&amp;query=any,contains,991003845859702656","Catalog Record")</f>
        <v/>
      </c>
      <c r="AV951">
        <f>HYPERLINK("http://www.worldcat.org/oclc/30439167","WorldCat Record")</f>
        <v/>
      </c>
      <c r="AW951" t="inlineStr">
        <is>
          <t>32657943:spa</t>
        </is>
      </c>
      <c r="AX951" t="inlineStr">
        <is>
          <t>30439167</t>
        </is>
      </c>
      <c r="AY951" t="inlineStr">
        <is>
          <t>991003845859702656</t>
        </is>
      </c>
      <c r="AZ951" t="inlineStr">
        <is>
          <t>991003845859702656</t>
        </is>
      </c>
      <c r="BA951" t="inlineStr">
        <is>
          <t>2269469790002656</t>
        </is>
      </c>
      <c r="BB951" t="inlineStr">
        <is>
          <t>BOOK</t>
        </is>
      </c>
      <c r="BD951" t="inlineStr">
        <is>
          <t>9789802931415</t>
        </is>
      </c>
      <c r="BE951" t="inlineStr">
        <is>
          <t>32285004499694</t>
        </is>
      </c>
      <c r="BF951" t="inlineStr">
        <is>
          <t>893435526</t>
        </is>
      </c>
    </row>
    <row r="952">
      <c r="A952" t="inlineStr">
        <is>
          <t>No</t>
        </is>
      </c>
      <c r="B952" t="inlineStr">
        <is>
          <t>CURAL</t>
        </is>
      </c>
      <c r="C952" t="inlineStr">
        <is>
          <t>SHELVES</t>
        </is>
      </c>
      <c r="D952" t="inlineStr">
        <is>
          <t>PQ7389.C263 Z854 1977</t>
        </is>
      </c>
      <c r="E952" t="inlineStr">
        <is>
          <t>0                      PQ 7389000C  263                Z  854         1977</t>
        </is>
      </c>
      <c r="F952" t="inlineStr">
        <is>
          <t>Recopilación de textos sobre Alejo Carpentier / [compilación y prólogo, Salvador Arias].</t>
        </is>
      </c>
      <c r="H952" t="inlineStr">
        <is>
          <t>No</t>
        </is>
      </c>
      <c r="I952" t="inlineStr">
        <is>
          <t>1</t>
        </is>
      </c>
      <c r="J952" t="inlineStr">
        <is>
          <t>No</t>
        </is>
      </c>
      <c r="K952" t="inlineStr">
        <is>
          <t>No</t>
        </is>
      </c>
      <c r="L952" t="inlineStr">
        <is>
          <t>0</t>
        </is>
      </c>
      <c r="N952" t="inlineStr">
        <is>
          <t>Ciudad de La Habana : Centro de Investigaciones Literaria [i.e. Literarias], Casa de las Américas ; New York, NY : distribuido por Ediciones Vitral, [1977]</t>
        </is>
      </c>
      <c r="O952" t="inlineStr">
        <is>
          <t>1977</t>
        </is>
      </c>
      <c r="Q952" t="inlineStr">
        <is>
          <t>spa</t>
        </is>
      </c>
      <c r="R952" t="inlineStr">
        <is>
          <t xml:space="preserve">cu </t>
        </is>
      </c>
      <c r="S952" t="inlineStr">
        <is>
          <t>Serie Valoración múltiple</t>
        </is>
      </c>
      <c r="T952" t="inlineStr">
        <is>
          <t xml:space="preserve">PQ </t>
        </is>
      </c>
      <c r="U952" t="n">
        <v>0</v>
      </c>
      <c r="V952" t="n">
        <v>0</v>
      </c>
      <c r="W952" t="inlineStr">
        <is>
          <t>2004-10-01</t>
        </is>
      </c>
      <c r="X952" t="inlineStr">
        <is>
          <t>2004-10-01</t>
        </is>
      </c>
      <c r="Y952" t="inlineStr">
        <is>
          <t>1996-10-03</t>
        </is>
      </c>
      <c r="Z952" t="inlineStr">
        <is>
          <t>1996-10-03</t>
        </is>
      </c>
      <c r="AA952" t="n">
        <v>150</v>
      </c>
      <c r="AB952" t="n">
        <v>94</v>
      </c>
      <c r="AC952" t="n">
        <v>101</v>
      </c>
      <c r="AD952" t="n">
        <v>2</v>
      </c>
      <c r="AE952" t="n">
        <v>2</v>
      </c>
      <c r="AF952" t="n">
        <v>3</v>
      </c>
      <c r="AG952" t="n">
        <v>3</v>
      </c>
      <c r="AH952" t="n">
        <v>0</v>
      </c>
      <c r="AI952" t="n">
        <v>0</v>
      </c>
      <c r="AJ952" t="n">
        <v>1</v>
      </c>
      <c r="AK952" t="n">
        <v>1</v>
      </c>
      <c r="AL952" t="n">
        <v>1</v>
      </c>
      <c r="AM952" t="n">
        <v>1</v>
      </c>
      <c r="AN952" t="n">
        <v>1</v>
      </c>
      <c r="AO952" t="n">
        <v>1</v>
      </c>
      <c r="AP952" t="n">
        <v>0</v>
      </c>
      <c r="AQ952" t="n">
        <v>0</v>
      </c>
      <c r="AR952" t="inlineStr">
        <is>
          <t>No</t>
        </is>
      </c>
      <c r="AS952" t="inlineStr">
        <is>
          <t>Yes</t>
        </is>
      </c>
      <c r="AT952">
        <f>HYPERLINK("http://catalog.hathitrust.org/Record/000662004","HathiTrust Record")</f>
        <v/>
      </c>
      <c r="AU952">
        <f>HYPERLINK("https://creighton-primo.hosted.exlibrisgroup.com/primo-explore/search?tab=default_tab&amp;search_scope=EVERYTHING&amp;vid=01CRU&amp;lang=en_US&amp;offset=0&amp;query=any,contains,991000382229702656","Catalog Record")</f>
        <v/>
      </c>
      <c r="AV952">
        <f>HYPERLINK("http://www.worldcat.org/oclc/10505403","WorldCat Record")</f>
        <v/>
      </c>
      <c r="AW952" t="inlineStr">
        <is>
          <t>53740630:spa</t>
        </is>
      </c>
      <c r="AX952" t="inlineStr">
        <is>
          <t>10505403</t>
        </is>
      </c>
      <c r="AY952" t="inlineStr">
        <is>
          <t>991000382229702656</t>
        </is>
      </c>
      <c r="AZ952" t="inlineStr">
        <is>
          <t>991000382229702656</t>
        </is>
      </c>
      <c r="BA952" t="inlineStr">
        <is>
          <t>2254763110002656</t>
        </is>
      </c>
      <c r="BB952" t="inlineStr">
        <is>
          <t>BOOK</t>
        </is>
      </c>
      <c r="BE952" t="inlineStr">
        <is>
          <t>32285002322849</t>
        </is>
      </c>
      <c r="BF952" t="inlineStr">
        <is>
          <t>893320998</t>
        </is>
      </c>
    </row>
    <row r="953">
      <c r="A953" t="inlineStr">
        <is>
          <t>No</t>
        </is>
      </c>
      <c r="B953" t="inlineStr">
        <is>
          <t>CURAL</t>
        </is>
      </c>
      <c r="C953" t="inlineStr">
        <is>
          <t>SHELVES</t>
        </is>
      </c>
      <c r="D953" t="inlineStr">
        <is>
          <t>PQ7389.G84 A6 1984</t>
        </is>
      </c>
      <c r="E953" t="inlineStr">
        <is>
          <t>0                      PQ 7389000G  84                 A  6           1984</t>
        </is>
      </c>
      <c r="F953" t="inlineStr">
        <is>
          <t>Las grandes elegías y otros poemas / Nicolás Guillén ; selección, prólogo, notas y cronología, Angel Augier.</t>
        </is>
      </c>
      <c r="H953" t="inlineStr">
        <is>
          <t>No</t>
        </is>
      </c>
      <c r="I953" t="inlineStr">
        <is>
          <t>1</t>
        </is>
      </c>
      <c r="J953" t="inlineStr">
        <is>
          <t>No</t>
        </is>
      </c>
      <c r="K953" t="inlineStr">
        <is>
          <t>No</t>
        </is>
      </c>
      <c r="L953" t="inlineStr">
        <is>
          <t>0</t>
        </is>
      </c>
      <c r="M953" t="inlineStr">
        <is>
          <t>Guillén, Nicolás, 1902-1989.</t>
        </is>
      </c>
      <c r="N953" t="inlineStr">
        <is>
          <t>Caracas, Venezuela : Biblioteca Ayacucho, 1984.</t>
        </is>
      </c>
      <c r="O953" t="inlineStr">
        <is>
          <t>1984</t>
        </is>
      </c>
      <c r="Q953" t="inlineStr">
        <is>
          <t>spa</t>
        </is>
      </c>
      <c r="R953" t="inlineStr">
        <is>
          <t xml:space="preserve">ve </t>
        </is>
      </c>
      <c r="S953" t="inlineStr">
        <is>
          <t>Biblioteca Ayacucho ; 103</t>
        </is>
      </c>
      <c r="T953" t="inlineStr">
        <is>
          <t xml:space="preserve">PQ </t>
        </is>
      </c>
      <c r="U953" t="n">
        <v>2</v>
      </c>
      <c r="V953" t="n">
        <v>2</v>
      </c>
      <c r="W953" t="inlineStr">
        <is>
          <t>1998-01-31</t>
        </is>
      </c>
      <c r="X953" t="inlineStr">
        <is>
          <t>1998-01-31</t>
        </is>
      </c>
      <c r="Y953" t="inlineStr">
        <is>
          <t>1996-06-19</t>
        </is>
      </c>
      <c r="Z953" t="inlineStr">
        <is>
          <t>1996-06-19</t>
        </is>
      </c>
      <c r="AA953" t="n">
        <v>178</v>
      </c>
      <c r="AB953" t="n">
        <v>123</v>
      </c>
      <c r="AC953" t="n">
        <v>132</v>
      </c>
      <c r="AD953" t="n">
        <v>2</v>
      </c>
      <c r="AE953" t="n">
        <v>2</v>
      </c>
      <c r="AF953" t="n">
        <v>5</v>
      </c>
      <c r="AG953" t="n">
        <v>5</v>
      </c>
      <c r="AH953" t="n">
        <v>0</v>
      </c>
      <c r="AI953" t="n">
        <v>0</v>
      </c>
      <c r="AJ953" t="n">
        <v>3</v>
      </c>
      <c r="AK953" t="n">
        <v>3</v>
      </c>
      <c r="AL953" t="n">
        <v>3</v>
      </c>
      <c r="AM953" t="n">
        <v>3</v>
      </c>
      <c r="AN953" t="n">
        <v>1</v>
      </c>
      <c r="AO953" t="n">
        <v>1</v>
      </c>
      <c r="AP953" t="n">
        <v>0</v>
      </c>
      <c r="AQ953" t="n">
        <v>0</v>
      </c>
      <c r="AR953" t="inlineStr">
        <is>
          <t>No</t>
        </is>
      </c>
      <c r="AS953" t="inlineStr">
        <is>
          <t>Yes</t>
        </is>
      </c>
      <c r="AT953">
        <f>HYPERLINK("http://catalog.hathitrust.org/Record/002879819","HathiTrust Record")</f>
        <v/>
      </c>
      <c r="AU953">
        <f>HYPERLINK("https://creighton-primo.hosted.exlibrisgroup.com/primo-explore/search?tab=default_tab&amp;search_scope=EVERYTHING&amp;vid=01CRU&amp;lang=en_US&amp;offset=0&amp;query=any,contains,991000747249702656","Catalog Record")</f>
        <v/>
      </c>
      <c r="AV953">
        <f>HYPERLINK("http://www.worldcat.org/oclc/12876680","WorldCat Record")</f>
        <v/>
      </c>
      <c r="AW953" t="inlineStr">
        <is>
          <t>351639332:spa</t>
        </is>
      </c>
      <c r="AX953" t="inlineStr">
        <is>
          <t>12876680</t>
        </is>
      </c>
      <c r="AY953" t="inlineStr">
        <is>
          <t>991000747249702656</t>
        </is>
      </c>
      <c r="AZ953" t="inlineStr">
        <is>
          <t>991000747249702656</t>
        </is>
      </c>
      <c r="BA953" t="inlineStr">
        <is>
          <t>2257983960002656</t>
        </is>
      </c>
      <c r="BB953" t="inlineStr">
        <is>
          <t>BOOK</t>
        </is>
      </c>
      <c r="BD953" t="inlineStr">
        <is>
          <t>9788466001083</t>
        </is>
      </c>
      <c r="BE953" t="inlineStr">
        <is>
          <t>32285002194727</t>
        </is>
      </c>
      <c r="BF953" t="inlineStr">
        <is>
          <t>893790817</t>
        </is>
      </c>
    </row>
    <row r="954">
      <c r="A954" t="inlineStr">
        <is>
          <t>No</t>
        </is>
      </c>
      <c r="B954" t="inlineStr">
        <is>
          <t>CURAL</t>
        </is>
      </c>
      <c r="C954" t="inlineStr">
        <is>
          <t>SHELVES</t>
        </is>
      </c>
      <c r="D954" t="inlineStr">
        <is>
          <t>PQ7389.G84 Z82 1974</t>
        </is>
      </c>
      <c r="E954" t="inlineStr">
        <is>
          <t>0                      PQ 7389000G  84                 Z  82          1974</t>
        </is>
      </c>
      <c r="F954" t="inlineStr">
        <is>
          <t>Recopilación de textos sobre Nicolás Guillén / [selección y prólogo de Nancy Morejón].</t>
        </is>
      </c>
      <c r="H954" t="inlineStr">
        <is>
          <t>No</t>
        </is>
      </c>
      <c r="I954" t="inlineStr">
        <is>
          <t>1</t>
        </is>
      </c>
      <c r="J954" t="inlineStr">
        <is>
          <t>No</t>
        </is>
      </c>
      <c r="K954" t="inlineStr">
        <is>
          <t>No</t>
        </is>
      </c>
      <c r="L954" t="inlineStr">
        <is>
          <t>0</t>
        </is>
      </c>
      <c r="N954" t="inlineStr">
        <is>
          <t>[La Habana] : Casa de las Américas, 1974.</t>
        </is>
      </c>
      <c r="O954" t="inlineStr">
        <is>
          <t>1974</t>
        </is>
      </c>
      <c r="Q954" t="inlineStr">
        <is>
          <t>spa</t>
        </is>
      </c>
      <c r="R954" t="inlineStr">
        <is>
          <t xml:space="preserve">cu </t>
        </is>
      </c>
      <c r="S954" t="inlineStr">
        <is>
          <t>Serie Valoración múltiple</t>
        </is>
      </c>
      <c r="T954" t="inlineStr">
        <is>
          <t xml:space="preserve">PQ </t>
        </is>
      </c>
      <c r="U954" t="n">
        <v>1</v>
      </c>
      <c r="V954" t="n">
        <v>1</v>
      </c>
      <c r="W954" t="inlineStr">
        <is>
          <t>2002-11-04</t>
        </is>
      </c>
      <c r="X954" t="inlineStr">
        <is>
          <t>2002-11-04</t>
        </is>
      </c>
      <c r="Y954" t="inlineStr">
        <is>
          <t>2002-11-04</t>
        </is>
      </c>
      <c r="Z954" t="inlineStr">
        <is>
          <t>2002-11-04</t>
        </is>
      </c>
      <c r="AA954" t="n">
        <v>154</v>
      </c>
      <c r="AB954" t="n">
        <v>107</v>
      </c>
      <c r="AC954" t="n">
        <v>122</v>
      </c>
      <c r="AD954" t="n">
        <v>1</v>
      </c>
      <c r="AE954" t="n">
        <v>1</v>
      </c>
      <c r="AF954" t="n">
        <v>4</v>
      </c>
      <c r="AG954" t="n">
        <v>4</v>
      </c>
      <c r="AH954" t="n">
        <v>0</v>
      </c>
      <c r="AI954" t="n">
        <v>0</v>
      </c>
      <c r="AJ954" t="n">
        <v>2</v>
      </c>
      <c r="AK954" t="n">
        <v>2</v>
      </c>
      <c r="AL954" t="n">
        <v>3</v>
      </c>
      <c r="AM954" t="n">
        <v>3</v>
      </c>
      <c r="AN954" t="n">
        <v>0</v>
      </c>
      <c r="AO954" t="n">
        <v>0</v>
      </c>
      <c r="AP954" t="n">
        <v>0</v>
      </c>
      <c r="AQ954" t="n">
        <v>0</v>
      </c>
      <c r="AR954" t="inlineStr">
        <is>
          <t>No</t>
        </is>
      </c>
      <c r="AS954" t="inlineStr">
        <is>
          <t>Yes</t>
        </is>
      </c>
      <c r="AT954">
        <f>HYPERLINK("http://catalog.hathitrust.org/Record/000270479","HathiTrust Record")</f>
        <v/>
      </c>
      <c r="AU954">
        <f>HYPERLINK("https://creighton-primo.hosted.exlibrisgroup.com/primo-explore/search?tab=default_tab&amp;search_scope=EVERYTHING&amp;vid=01CRU&amp;lang=en_US&amp;offset=0&amp;query=any,contains,991003932269702656","Catalog Record")</f>
        <v/>
      </c>
      <c r="AV954">
        <f>HYPERLINK("http://www.worldcat.org/oclc/1811115","WorldCat Record")</f>
        <v/>
      </c>
      <c r="AW954" t="inlineStr">
        <is>
          <t>53672605:spa</t>
        </is>
      </c>
      <c r="AX954" t="inlineStr">
        <is>
          <t>1811115</t>
        </is>
      </c>
      <c r="AY954" t="inlineStr">
        <is>
          <t>991003932269702656</t>
        </is>
      </c>
      <c r="AZ954" t="inlineStr">
        <is>
          <t>991003932269702656</t>
        </is>
      </c>
      <c r="BA954" t="inlineStr">
        <is>
          <t>2258930310002656</t>
        </is>
      </c>
      <c r="BB954" t="inlineStr">
        <is>
          <t>BOOK</t>
        </is>
      </c>
      <c r="BE954" t="inlineStr">
        <is>
          <t>32285004630710</t>
        </is>
      </c>
      <c r="BF954" t="inlineStr">
        <is>
          <t>893705797</t>
        </is>
      </c>
    </row>
    <row r="955">
      <c r="A955" t="inlineStr">
        <is>
          <t>No</t>
        </is>
      </c>
      <c r="B955" t="inlineStr">
        <is>
          <t>CURAL</t>
        </is>
      </c>
      <c r="C955" t="inlineStr">
        <is>
          <t>SHELVES</t>
        </is>
      </c>
      <c r="D955" t="inlineStr">
        <is>
          <t>PQ7389.L49 A6 1992</t>
        </is>
      </c>
      <c r="E955" t="inlineStr">
        <is>
          <t>0                      PQ 7389000L  49                 A  6           1992</t>
        </is>
      </c>
      <c r="F955" t="inlineStr">
        <is>
          <t>Imagen y posibilidad / Josae Lezama Lima ; selecciaon, praologo y notas de Ciro Bianchi Ross.</t>
        </is>
      </c>
      <c r="H955" t="inlineStr">
        <is>
          <t>No</t>
        </is>
      </c>
      <c r="I955" t="inlineStr">
        <is>
          <t>1</t>
        </is>
      </c>
      <c r="J955" t="inlineStr">
        <is>
          <t>No</t>
        </is>
      </c>
      <c r="K955" t="inlineStr">
        <is>
          <t>No</t>
        </is>
      </c>
      <c r="L955" t="inlineStr">
        <is>
          <t>0</t>
        </is>
      </c>
      <c r="M955" t="inlineStr">
        <is>
          <t>Lezama Lima, José.</t>
        </is>
      </c>
      <c r="N955" t="inlineStr">
        <is>
          <t>La Habana, Cuba : Editorial Letras Cubanas, 1992.</t>
        </is>
      </c>
      <c r="O955" t="inlineStr">
        <is>
          <t>1992</t>
        </is>
      </c>
      <c r="Q955" t="inlineStr">
        <is>
          <t>spa</t>
        </is>
      </c>
      <c r="R955" t="inlineStr">
        <is>
          <t xml:space="preserve">cu </t>
        </is>
      </c>
      <c r="T955" t="inlineStr">
        <is>
          <t xml:space="preserve">PQ </t>
        </is>
      </c>
      <c r="U955" t="n">
        <v>1</v>
      </c>
      <c r="V955" t="n">
        <v>1</v>
      </c>
      <c r="W955" t="inlineStr">
        <is>
          <t>2004-08-02</t>
        </is>
      </c>
      <c r="X955" t="inlineStr">
        <is>
          <t>2004-08-02</t>
        </is>
      </c>
      <c r="Y955" t="inlineStr">
        <is>
          <t>2004-08-02</t>
        </is>
      </c>
      <c r="Z955" t="inlineStr">
        <is>
          <t>2004-08-02</t>
        </is>
      </c>
      <c r="AA955" t="n">
        <v>28</v>
      </c>
      <c r="AB955" t="n">
        <v>23</v>
      </c>
      <c r="AC955" t="n">
        <v>100</v>
      </c>
      <c r="AD955" t="n">
        <v>1</v>
      </c>
      <c r="AE955" t="n">
        <v>1</v>
      </c>
      <c r="AF955" t="n">
        <v>0</v>
      </c>
      <c r="AG955" t="n">
        <v>4</v>
      </c>
      <c r="AH955" t="n">
        <v>0</v>
      </c>
      <c r="AI955" t="n">
        <v>0</v>
      </c>
      <c r="AJ955" t="n">
        <v>0</v>
      </c>
      <c r="AK955" t="n">
        <v>4</v>
      </c>
      <c r="AL955" t="n">
        <v>0</v>
      </c>
      <c r="AM955" t="n">
        <v>1</v>
      </c>
      <c r="AN955" t="n">
        <v>0</v>
      </c>
      <c r="AO955" t="n">
        <v>0</v>
      </c>
      <c r="AP955" t="n">
        <v>0</v>
      </c>
      <c r="AQ955" t="n">
        <v>0</v>
      </c>
      <c r="AR955" t="inlineStr">
        <is>
          <t>No</t>
        </is>
      </c>
      <c r="AS955" t="inlineStr">
        <is>
          <t>No</t>
        </is>
      </c>
      <c r="AU955">
        <f>HYPERLINK("https://creighton-primo.hosted.exlibrisgroup.com/primo-explore/search?tab=default_tab&amp;search_scope=EVERYTHING&amp;vid=01CRU&amp;lang=en_US&amp;offset=0&amp;query=any,contains,991004333109702656","Catalog Record")</f>
        <v/>
      </c>
      <c r="AV955">
        <f>HYPERLINK("http://www.worldcat.org/oclc/30207662","WorldCat Record")</f>
        <v/>
      </c>
      <c r="AW955" t="inlineStr">
        <is>
          <t>31980782:spa</t>
        </is>
      </c>
      <c r="AX955" t="inlineStr">
        <is>
          <t>30207662</t>
        </is>
      </c>
      <c r="AY955" t="inlineStr">
        <is>
          <t>991004333109702656</t>
        </is>
      </c>
      <c r="AZ955" t="inlineStr">
        <is>
          <t>991004333109702656</t>
        </is>
      </c>
      <c r="BA955" t="inlineStr">
        <is>
          <t>2255995140002656</t>
        </is>
      </c>
      <c r="BB955" t="inlineStr">
        <is>
          <t>BOOK</t>
        </is>
      </c>
      <c r="BD955" t="inlineStr">
        <is>
          <t>9789591000347</t>
        </is>
      </c>
      <c r="BE955" t="inlineStr">
        <is>
          <t>32285004925193</t>
        </is>
      </c>
      <c r="BF955" t="inlineStr">
        <is>
          <t>893806940</t>
        </is>
      </c>
    </row>
    <row r="956">
      <c r="A956" t="inlineStr">
        <is>
          <t>No</t>
        </is>
      </c>
      <c r="B956" t="inlineStr">
        <is>
          <t>CURAL</t>
        </is>
      </c>
      <c r="C956" t="inlineStr">
        <is>
          <t>SHELVES</t>
        </is>
      </c>
      <c r="D956" t="inlineStr">
        <is>
          <t>PQ7389.M2 P9 1968</t>
        </is>
      </c>
      <c r="E956" t="inlineStr">
        <is>
          <t>0                      PQ 7389000M  2                  P  9           1968</t>
        </is>
      </c>
      <c r="F956" t="inlineStr">
        <is>
          <t>Prosa y poesía / Jose Marti ; estudio preliminar y notas de Íber H. Verdugo ; edición dirigida por María Hortensia Lacau.</t>
        </is>
      </c>
      <c r="H956" t="inlineStr">
        <is>
          <t>No</t>
        </is>
      </c>
      <c r="I956" t="inlineStr">
        <is>
          <t>1</t>
        </is>
      </c>
      <c r="J956" t="inlineStr">
        <is>
          <t>No</t>
        </is>
      </c>
      <c r="K956" t="inlineStr">
        <is>
          <t>No</t>
        </is>
      </c>
      <c r="L956" t="inlineStr">
        <is>
          <t>0</t>
        </is>
      </c>
      <c r="M956" t="inlineStr">
        <is>
          <t>Martí, José, 1853-1895.</t>
        </is>
      </c>
      <c r="N956" t="inlineStr">
        <is>
          <t>Buenos Aires : Editorial Kapelusz, [1968]</t>
        </is>
      </c>
      <c r="O956" t="inlineStr">
        <is>
          <t>1968</t>
        </is>
      </c>
      <c r="P956" t="inlineStr">
        <is>
          <t>4a ed.</t>
        </is>
      </c>
      <c r="Q956" t="inlineStr">
        <is>
          <t>spa</t>
        </is>
      </c>
      <c r="R956" t="inlineStr">
        <is>
          <t xml:space="preserve">ag </t>
        </is>
      </c>
      <c r="T956" t="inlineStr">
        <is>
          <t xml:space="preserve">PQ </t>
        </is>
      </c>
      <c r="U956" t="n">
        <v>1</v>
      </c>
      <c r="V956" t="n">
        <v>1</v>
      </c>
      <c r="W956" t="inlineStr">
        <is>
          <t>2005-03-23</t>
        </is>
      </c>
      <c r="X956" t="inlineStr">
        <is>
          <t>2005-03-23</t>
        </is>
      </c>
      <c r="Y956" t="inlineStr">
        <is>
          <t>2005-03-23</t>
        </is>
      </c>
      <c r="Z956" t="inlineStr">
        <is>
          <t>2005-03-23</t>
        </is>
      </c>
      <c r="AA956" t="n">
        <v>42</v>
      </c>
      <c r="AB956" t="n">
        <v>34</v>
      </c>
      <c r="AC956" t="n">
        <v>67</v>
      </c>
      <c r="AD956" t="n">
        <v>1</v>
      </c>
      <c r="AE956" t="n">
        <v>1</v>
      </c>
      <c r="AF956" t="n">
        <v>1</v>
      </c>
      <c r="AG956" t="n">
        <v>2</v>
      </c>
      <c r="AH956" t="n">
        <v>0</v>
      </c>
      <c r="AI956" t="n">
        <v>0</v>
      </c>
      <c r="AJ956" t="n">
        <v>0</v>
      </c>
      <c r="AK956" t="n">
        <v>1</v>
      </c>
      <c r="AL956" t="n">
        <v>1</v>
      </c>
      <c r="AM956" t="n">
        <v>2</v>
      </c>
      <c r="AN956" t="n">
        <v>0</v>
      </c>
      <c r="AO956" t="n">
        <v>0</v>
      </c>
      <c r="AP956" t="n">
        <v>0</v>
      </c>
      <c r="AQ956" t="n">
        <v>0</v>
      </c>
      <c r="AR956" t="inlineStr">
        <is>
          <t>No</t>
        </is>
      </c>
      <c r="AS956" t="inlineStr">
        <is>
          <t>No</t>
        </is>
      </c>
      <c r="AU956">
        <f>HYPERLINK("https://creighton-primo.hosted.exlibrisgroup.com/primo-explore/search?tab=default_tab&amp;search_scope=EVERYTHING&amp;vid=01CRU&amp;lang=en_US&amp;offset=0&amp;query=any,contains,991004509219702656","Catalog Record")</f>
        <v/>
      </c>
      <c r="AV956">
        <f>HYPERLINK("http://www.worldcat.org/oclc/545011","WorldCat Record")</f>
        <v/>
      </c>
      <c r="AW956" t="inlineStr">
        <is>
          <t>1576439:spa</t>
        </is>
      </c>
      <c r="AX956" t="inlineStr">
        <is>
          <t>545011</t>
        </is>
      </c>
      <c r="AY956" t="inlineStr">
        <is>
          <t>991004509219702656</t>
        </is>
      </c>
      <c r="AZ956" t="inlineStr">
        <is>
          <t>991004509219702656</t>
        </is>
      </c>
      <c r="BA956" t="inlineStr">
        <is>
          <t>2264373690002656</t>
        </is>
      </c>
      <c r="BB956" t="inlineStr">
        <is>
          <t>BOOK</t>
        </is>
      </c>
      <c r="BE956" t="inlineStr">
        <is>
          <t>32285005029441</t>
        </is>
      </c>
      <c r="BF956" t="inlineStr">
        <is>
          <t>893624805</t>
        </is>
      </c>
    </row>
    <row r="957">
      <c r="A957" t="inlineStr">
        <is>
          <t>No</t>
        </is>
      </c>
      <c r="B957" t="inlineStr">
        <is>
          <t>CURAL</t>
        </is>
      </c>
      <c r="C957" t="inlineStr">
        <is>
          <t>SHELVES</t>
        </is>
      </c>
      <c r="D957" t="inlineStr">
        <is>
          <t>PQ7389.P49 A6 1987</t>
        </is>
      </c>
      <c r="E957" t="inlineStr">
        <is>
          <t>0                      PQ 7389000P  49                 A  6           1987</t>
        </is>
      </c>
      <c r="F957" t="inlineStr">
        <is>
          <t>Un fogonazo / Virgilio Piñera.</t>
        </is>
      </c>
      <c r="H957" t="inlineStr">
        <is>
          <t>No</t>
        </is>
      </c>
      <c r="I957" t="inlineStr">
        <is>
          <t>1</t>
        </is>
      </c>
      <c r="J957" t="inlineStr">
        <is>
          <t>No</t>
        </is>
      </c>
      <c r="K957" t="inlineStr">
        <is>
          <t>No</t>
        </is>
      </c>
      <c r="L957" t="inlineStr">
        <is>
          <t>0</t>
        </is>
      </c>
      <c r="M957" t="inlineStr">
        <is>
          <t>Piñera, Virgilio, 1912-1979.</t>
        </is>
      </c>
      <c r="N957" t="inlineStr">
        <is>
          <t>La Habana, Cuba : Editorial Letras Cubanas, 1987.</t>
        </is>
      </c>
      <c r="O957" t="inlineStr">
        <is>
          <t>1987</t>
        </is>
      </c>
      <c r="Q957" t="inlineStr">
        <is>
          <t>spa</t>
        </is>
      </c>
      <c r="R957" t="inlineStr">
        <is>
          <t xml:space="preserve">cu </t>
        </is>
      </c>
      <c r="S957" t="inlineStr">
        <is>
          <t>Giraldilla</t>
        </is>
      </c>
      <c r="T957" t="inlineStr">
        <is>
          <t xml:space="preserve">PQ </t>
        </is>
      </c>
      <c r="U957" t="n">
        <v>1</v>
      </c>
      <c r="V957" t="n">
        <v>1</v>
      </c>
      <c r="W957" t="inlineStr">
        <is>
          <t>2001-11-14</t>
        </is>
      </c>
      <c r="X957" t="inlineStr">
        <is>
          <t>2001-11-14</t>
        </is>
      </c>
      <c r="Y957" t="inlineStr">
        <is>
          <t>2001-11-13</t>
        </is>
      </c>
      <c r="Z957" t="inlineStr">
        <is>
          <t>2001-11-13</t>
        </is>
      </c>
      <c r="AA957" t="n">
        <v>31</v>
      </c>
      <c r="AB957" t="n">
        <v>25</v>
      </c>
      <c r="AC957" t="n">
        <v>26</v>
      </c>
      <c r="AD957" t="n">
        <v>1</v>
      </c>
      <c r="AE957" t="n">
        <v>1</v>
      </c>
      <c r="AF957" t="n">
        <v>0</v>
      </c>
      <c r="AG957" t="n">
        <v>0</v>
      </c>
      <c r="AH957" t="n">
        <v>0</v>
      </c>
      <c r="AI957" t="n">
        <v>0</v>
      </c>
      <c r="AJ957" t="n">
        <v>0</v>
      </c>
      <c r="AK957" t="n">
        <v>0</v>
      </c>
      <c r="AL957" t="n">
        <v>0</v>
      </c>
      <c r="AM957" t="n">
        <v>0</v>
      </c>
      <c r="AN957" t="n">
        <v>0</v>
      </c>
      <c r="AO957" t="n">
        <v>0</v>
      </c>
      <c r="AP957" t="n">
        <v>0</v>
      </c>
      <c r="AQ957" t="n">
        <v>0</v>
      </c>
      <c r="AR957" t="inlineStr">
        <is>
          <t>No</t>
        </is>
      </c>
      <c r="AS957" t="inlineStr">
        <is>
          <t>No</t>
        </is>
      </c>
      <c r="AU957">
        <f>HYPERLINK("https://creighton-primo.hosted.exlibrisgroup.com/primo-explore/search?tab=default_tab&amp;search_scope=EVERYTHING&amp;vid=01CRU&amp;lang=en_US&amp;offset=0&amp;query=any,contains,991003678349702656","Catalog Record")</f>
        <v/>
      </c>
      <c r="AV957">
        <f>HYPERLINK("http://www.worldcat.org/oclc/18192355","WorldCat Record")</f>
        <v/>
      </c>
      <c r="AW957" t="inlineStr">
        <is>
          <t>48509738:spa</t>
        </is>
      </c>
      <c r="AX957" t="inlineStr">
        <is>
          <t>18192355</t>
        </is>
      </c>
      <c r="AY957" t="inlineStr">
        <is>
          <t>991003678349702656</t>
        </is>
      </c>
      <c r="AZ957" t="inlineStr">
        <is>
          <t>991003678349702656</t>
        </is>
      </c>
      <c r="BA957" t="inlineStr">
        <is>
          <t>2269384060002656</t>
        </is>
      </c>
      <c r="BB957" t="inlineStr">
        <is>
          <t>BOOK</t>
        </is>
      </c>
      <c r="BE957" t="inlineStr">
        <is>
          <t>32285004411350</t>
        </is>
      </c>
      <c r="BF957" t="inlineStr">
        <is>
          <t>893717966</t>
        </is>
      </c>
    </row>
    <row r="958">
      <c r="A958" t="inlineStr">
        <is>
          <t>No</t>
        </is>
      </c>
      <c r="B958" t="inlineStr">
        <is>
          <t>CURAL</t>
        </is>
      </c>
      <c r="C958" t="inlineStr">
        <is>
          <t>SHELVES</t>
        </is>
      </c>
      <c r="D958" t="inlineStr">
        <is>
          <t>PQ7389.V55 C413 2005</t>
        </is>
      </c>
      <c r="E958" t="inlineStr">
        <is>
          <t>0                      PQ 7389000V  55                 C  413         2005</t>
        </is>
      </c>
      <c r="F958" t="inlineStr">
        <is>
          <t>Cecilia Valdés, or, El Angel Hill / Cirilo Villaverde ; translated from the Spanish by Helen Lane ; edited with an introduction and notes by Sibylle Fischer.</t>
        </is>
      </c>
      <c r="H958" t="inlineStr">
        <is>
          <t>No</t>
        </is>
      </c>
      <c r="I958" t="inlineStr">
        <is>
          <t>1</t>
        </is>
      </c>
      <c r="J958" t="inlineStr">
        <is>
          <t>No</t>
        </is>
      </c>
      <c r="K958" t="inlineStr">
        <is>
          <t>No</t>
        </is>
      </c>
      <c r="L958" t="inlineStr">
        <is>
          <t>0</t>
        </is>
      </c>
      <c r="M958" t="inlineStr">
        <is>
          <t>Villaverde, Cirilo, 1812-1894.</t>
        </is>
      </c>
      <c r="N958" t="inlineStr">
        <is>
          <t>Oxford ; New York : Oxford University Press, 2005.</t>
        </is>
      </c>
      <c r="O958" t="inlineStr">
        <is>
          <t>2005</t>
        </is>
      </c>
      <c r="Q958" t="inlineStr">
        <is>
          <t>eng</t>
        </is>
      </c>
      <c r="R958" t="inlineStr">
        <is>
          <t>enk</t>
        </is>
      </c>
      <c r="S958" t="inlineStr">
        <is>
          <t>Library of Latin America</t>
        </is>
      </c>
      <c r="T958" t="inlineStr">
        <is>
          <t xml:space="preserve">PQ </t>
        </is>
      </c>
      <c r="U958" t="n">
        <v>1</v>
      </c>
      <c r="V958" t="n">
        <v>1</v>
      </c>
      <c r="W958" t="inlineStr">
        <is>
          <t>2005-10-27</t>
        </is>
      </c>
      <c r="X958" t="inlineStr">
        <is>
          <t>2005-10-27</t>
        </is>
      </c>
      <c r="Y958" t="inlineStr">
        <is>
          <t>2005-10-27</t>
        </is>
      </c>
      <c r="Z958" t="inlineStr">
        <is>
          <t>2005-10-27</t>
        </is>
      </c>
      <c r="AA958" t="n">
        <v>242</v>
      </c>
      <c r="AB958" t="n">
        <v>209</v>
      </c>
      <c r="AC958" t="n">
        <v>210</v>
      </c>
      <c r="AD958" t="n">
        <v>2</v>
      </c>
      <c r="AE958" t="n">
        <v>2</v>
      </c>
      <c r="AF958" t="n">
        <v>7</v>
      </c>
      <c r="AG958" t="n">
        <v>7</v>
      </c>
      <c r="AH958" t="n">
        <v>1</v>
      </c>
      <c r="AI958" t="n">
        <v>1</v>
      </c>
      <c r="AJ958" t="n">
        <v>3</v>
      </c>
      <c r="AK958" t="n">
        <v>3</v>
      </c>
      <c r="AL958" t="n">
        <v>4</v>
      </c>
      <c r="AM958" t="n">
        <v>4</v>
      </c>
      <c r="AN958" t="n">
        <v>1</v>
      </c>
      <c r="AO958" t="n">
        <v>1</v>
      </c>
      <c r="AP958" t="n">
        <v>0</v>
      </c>
      <c r="AQ958" t="n">
        <v>0</v>
      </c>
      <c r="AR958" t="inlineStr">
        <is>
          <t>No</t>
        </is>
      </c>
      <c r="AS958" t="inlineStr">
        <is>
          <t>Yes</t>
        </is>
      </c>
      <c r="AT958">
        <f>HYPERLINK("http://catalog.hathitrust.org/Record/101103564","HathiTrust Record")</f>
        <v/>
      </c>
      <c r="AU958">
        <f>HYPERLINK("https://creighton-primo.hosted.exlibrisgroup.com/primo-explore/search?tab=default_tab&amp;search_scope=EVERYTHING&amp;vid=01CRU&amp;lang=en_US&amp;offset=0&amp;query=any,contains,991004680399702656","Catalog Record")</f>
        <v/>
      </c>
      <c r="AV958">
        <f>HYPERLINK("http://www.worldcat.org/oclc/52821440","WorldCat Record")</f>
        <v/>
      </c>
      <c r="AW958" t="inlineStr">
        <is>
          <t>8909833512:eng</t>
        </is>
      </c>
      <c r="AX958" t="inlineStr">
        <is>
          <t>52821440</t>
        </is>
      </c>
      <c r="AY958" t="inlineStr">
        <is>
          <t>991004680399702656</t>
        </is>
      </c>
      <c r="AZ958" t="inlineStr">
        <is>
          <t>991004680399702656</t>
        </is>
      </c>
      <c r="BA958" t="inlineStr">
        <is>
          <t>2271906010002656</t>
        </is>
      </c>
      <c r="BB958" t="inlineStr">
        <is>
          <t>BOOK</t>
        </is>
      </c>
      <c r="BD958" t="inlineStr">
        <is>
          <t>9780195143942</t>
        </is>
      </c>
      <c r="BE958" t="inlineStr">
        <is>
          <t>32285005143010</t>
        </is>
      </c>
      <c r="BF958" t="inlineStr">
        <is>
          <t>893319522</t>
        </is>
      </c>
    </row>
    <row r="959">
      <c r="A959" t="inlineStr">
        <is>
          <t>No</t>
        </is>
      </c>
      <c r="B959" t="inlineStr">
        <is>
          <t>CURAL</t>
        </is>
      </c>
      <c r="C959" t="inlineStr">
        <is>
          <t>SHELVES</t>
        </is>
      </c>
      <c r="D959" t="inlineStr">
        <is>
          <t>PQ7390 .D542 1984</t>
        </is>
      </c>
      <c r="E959" t="inlineStr">
        <is>
          <t>0                      PQ 7390000D  542         1984</t>
        </is>
      </c>
      <c r="F959" t="inlineStr">
        <is>
          <t>Mientras traza su curva el pez de fuego / Manuel Díaz Martínez.</t>
        </is>
      </c>
      <c r="H959" t="inlineStr">
        <is>
          <t>No</t>
        </is>
      </c>
      <c r="I959" t="inlineStr">
        <is>
          <t>1</t>
        </is>
      </c>
      <c r="J959" t="inlineStr">
        <is>
          <t>No</t>
        </is>
      </c>
      <c r="K959" t="inlineStr">
        <is>
          <t>No</t>
        </is>
      </c>
      <c r="L959" t="inlineStr">
        <is>
          <t>0</t>
        </is>
      </c>
      <c r="M959" t="inlineStr">
        <is>
          <t>Díaz Martínez, Manuel.</t>
        </is>
      </c>
      <c r="N959" t="inlineStr">
        <is>
          <t>Ciudad de La Habana : Unión de Escritores y Artistas de Cuba, 1984.</t>
        </is>
      </c>
      <c r="O959" t="inlineStr">
        <is>
          <t>1984</t>
        </is>
      </c>
      <c r="Q959" t="inlineStr">
        <is>
          <t>spa</t>
        </is>
      </c>
      <c r="R959" t="inlineStr">
        <is>
          <t xml:space="preserve">cu </t>
        </is>
      </c>
      <c r="S959" t="inlineStr">
        <is>
          <t>Manjuarí. Poesía</t>
        </is>
      </c>
      <c r="T959" t="inlineStr">
        <is>
          <t xml:space="preserve">PQ </t>
        </is>
      </c>
      <c r="U959" t="n">
        <v>1</v>
      </c>
      <c r="V959" t="n">
        <v>1</v>
      </c>
      <c r="W959" t="inlineStr">
        <is>
          <t>2005-08-19</t>
        </is>
      </c>
      <c r="X959" t="inlineStr">
        <is>
          <t>2005-08-19</t>
        </is>
      </c>
      <c r="Y959" t="inlineStr">
        <is>
          <t>2001-11-08</t>
        </is>
      </c>
      <c r="Z959" t="inlineStr">
        <is>
          <t>2001-11-08</t>
        </is>
      </c>
      <c r="AA959" t="n">
        <v>8</v>
      </c>
      <c r="AB959" t="n">
        <v>7</v>
      </c>
      <c r="AC959" t="n">
        <v>7</v>
      </c>
      <c r="AD959" t="n">
        <v>1</v>
      </c>
      <c r="AE959" t="n">
        <v>1</v>
      </c>
      <c r="AF959" t="n">
        <v>0</v>
      </c>
      <c r="AG959" t="n">
        <v>0</v>
      </c>
      <c r="AH959" t="n">
        <v>0</v>
      </c>
      <c r="AI959" t="n">
        <v>0</v>
      </c>
      <c r="AJ959" t="n">
        <v>0</v>
      </c>
      <c r="AK959" t="n">
        <v>0</v>
      </c>
      <c r="AL959" t="n">
        <v>0</v>
      </c>
      <c r="AM959" t="n">
        <v>0</v>
      </c>
      <c r="AN959" t="n">
        <v>0</v>
      </c>
      <c r="AO959" t="n">
        <v>0</v>
      </c>
      <c r="AP959" t="n">
        <v>0</v>
      </c>
      <c r="AQ959" t="n">
        <v>0</v>
      </c>
      <c r="AR959" t="inlineStr">
        <is>
          <t>No</t>
        </is>
      </c>
      <c r="AS959" t="inlineStr">
        <is>
          <t>No</t>
        </is>
      </c>
      <c r="AU959">
        <f>HYPERLINK("https://creighton-primo.hosted.exlibrisgroup.com/primo-explore/search?tab=default_tab&amp;search_scope=EVERYTHING&amp;vid=01CRU&amp;lang=en_US&amp;offset=0&amp;query=any,contains,991003674419702656","Catalog Record")</f>
        <v/>
      </c>
      <c r="AV959">
        <f>HYPERLINK("http://www.worldcat.org/oclc/16133561","WorldCat Record")</f>
        <v/>
      </c>
      <c r="AW959" t="inlineStr">
        <is>
          <t>11600804:spa</t>
        </is>
      </c>
      <c r="AX959" t="inlineStr">
        <is>
          <t>16133561</t>
        </is>
      </c>
      <c r="AY959" t="inlineStr">
        <is>
          <t>991003674419702656</t>
        </is>
      </c>
      <c r="AZ959" t="inlineStr">
        <is>
          <t>991003674419702656</t>
        </is>
      </c>
      <c r="BA959" t="inlineStr">
        <is>
          <t>2262926570002656</t>
        </is>
      </c>
      <c r="BB959" t="inlineStr">
        <is>
          <t>BOOK</t>
        </is>
      </c>
      <c r="BE959" t="inlineStr">
        <is>
          <t>32285004419601</t>
        </is>
      </c>
      <c r="BF959" t="inlineStr">
        <is>
          <t>893252618</t>
        </is>
      </c>
    </row>
    <row r="960">
      <c r="A960" t="inlineStr">
        <is>
          <t>No</t>
        </is>
      </c>
      <c r="B960" t="inlineStr">
        <is>
          <t>CURAL</t>
        </is>
      </c>
      <c r="C960" t="inlineStr">
        <is>
          <t>SHELVES</t>
        </is>
      </c>
      <c r="D960" t="inlineStr">
        <is>
          <t>PQ7390.A375 C37 1998</t>
        </is>
      </c>
      <c r="E960" t="inlineStr">
        <is>
          <t>0                      PQ 7390000A  375                C  37          1998</t>
        </is>
      </c>
      <c r="F960" t="inlineStr">
        <is>
          <t>Caracol Beach / Eliseo Alberto.</t>
        </is>
      </c>
      <c r="H960" t="inlineStr">
        <is>
          <t>No</t>
        </is>
      </c>
      <c r="I960" t="inlineStr">
        <is>
          <t>1</t>
        </is>
      </c>
      <c r="J960" t="inlineStr">
        <is>
          <t>No</t>
        </is>
      </c>
      <c r="K960" t="inlineStr">
        <is>
          <t>No</t>
        </is>
      </c>
      <c r="L960" t="inlineStr">
        <is>
          <t>0</t>
        </is>
      </c>
      <c r="M960" t="inlineStr">
        <is>
          <t>Alberto, Eliseo, 1951-2011.</t>
        </is>
      </c>
      <c r="N960" t="inlineStr">
        <is>
          <t>Madrid : Alfaguara, c1998.</t>
        </is>
      </c>
      <c r="O960" t="inlineStr">
        <is>
          <t>1998</t>
        </is>
      </c>
      <c r="Q960" t="inlineStr">
        <is>
          <t>spa</t>
        </is>
      </c>
      <c r="R960" t="inlineStr">
        <is>
          <t xml:space="preserve">sp </t>
        </is>
      </c>
      <c r="T960" t="inlineStr">
        <is>
          <t xml:space="preserve">PQ </t>
        </is>
      </c>
      <c r="U960" t="n">
        <v>1</v>
      </c>
      <c r="V960" t="n">
        <v>1</v>
      </c>
      <c r="W960" t="inlineStr">
        <is>
          <t>2000-09-05</t>
        </is>
      </c>
      <c r="X960" t="inlineStr">
        <is>
          <t>2000-09-05</t>
        </is>
      </c>
      <c r="Y960" t="inlineStr">
        <is>
          <t>2000-09-05</t>
        </is>
      </c>
      <c r="Z960" t="inlineStr">
        <is>
          <t>2000-09-05</t>
        </is>
      </c>
      <c r="AA960" t="n">
        <v>315</v>
      </c>
      <c r="AB960" t="n">
        <v>277</v>
      </c>
      <c r="AC960" t="n">
        <v>349</v>
      </c>
      <c r="AD960" t="n">
        <v>1</v>
      </c>
      <c r="AE960" t="n">
        <v>1</v>
      </c>
      <c r="AF960" t="n">
        <v>8</v>
      </c>
      <c r="AG960" t="n">
        <v>9</v>
      </c>
      <c r="AH960" t="n">
        <v>2</v>
      </c>
      <c r="AI960" t="n">
        <v>3</v>
      </c>
      <c r="AJ960" t="n">
        <v>4</v>
      </c>
      <c r="AK960" t="n">
        <v>4</v>
      </c>
      <c r="AL960" t="n">
        <v>4</v>
      </c>
      <c r="AM960" t="n">
        <v>5</v>
      </c>
      <c r="AN960" t="n">
        <v>0</v>
      </c>
      <c r="AO960" t="n">
        <v>0</v>
      </c>
      <c r="AP960" t="n">
        <v>0</v>
      </c>
      <c r="AQ960" t="n">
        <v>0</v>
      </c>
      <c r="AR960" t="inlineStr">
        <is>
          <t>No</t>
        </is>
      </c>
      <c r="AS960" t="inlineStr">
        <is>
          <t>Yes</t>
        </is>
      </c>
      <c r="AT960">
        <f>HYPERLINK("http://catalog.hathitrust.org/Record/004102712","HathiTrust Record")</f>
        <v/>
      </c>
      <c r="AU960">
        <f>HYPERLINK("https://creighton-primo.hosted.exlibrisgroup.com/primo-explore/search?tab=default_tab&amp;search_scope=EVERYTHING&amp;vid=01CRU&amp;lang=en_US&amp;offset=0&amp;query=any,contains,991003253429702656","Catalog Record")</f>
        <v/>
      </c>
      <c r="AV960">
        <f>HYPERLINK("http://www.worldcat.org/oclc/39047524","WorldCat Record")</f>
        <v/>
      </c>
      <c r="AW960" t="inlineStr">
        <is>
          <t>835938:spa</t>
        </is>
      </c>
      <c r="AX960" t="inlineStr">
        <is>
          <t>39047524</t>
        </is>
      </c>
      <c r="AY960" t="inlineStr">
        <is>
          <t>991003253429702656</t>
        </is>
      </c>
      <c r="AZ960" t="inlineStr">
        <is>
          <t>991003253429702656</t>
        </is>
      </c>
      <c r="BA960" t="inlineStr">
        <is>
          <t>2272297000002656</t>
        </is>
      </c>
      <c r="BB960" t="inlineStr">
        <is>
          <t>BOOK</t>
        </is>
      </c>
      <c r="BD960" t="inlineStr">
        <is>
          <t>9788420483702</t>
        </is>
      </c>
      <c r="BE960" t="inlineStr">
        <is>
          <t>32285003749974</t>
        </is>
      </c>
      <c r="BF960" t="inlineStr">
        <is>
          <t>893617150</t>
        </is>
      </c>
    </row>
    <row r="961">
      <c r="A961" t="inlineStr">
        <is>
          <t>No</t>
        </is>
      </c>
      <c r="B961" t="inlineStr">
        <is>
          <t>CURAL</t>
        </is>
      </c>
      <c r="C961" t="inlineStr">
        <is>
          <t>SHELVES</t>
        </is>
      </c>
      <c r="D961" t="inlineStr">
        <is>
          <t>PQ7390.A72 O813 1987</t>
        </is>
      </c>
      <c r="E961" t="inlineStr">
        <is>
          <t>0                      PQ 7390000A  72                 O  813         1987</t>
        </is>
      </c>
      <c r="F961" t="inlineStr">
        <is>
          <t>Farewell to the sea : a novel of Cuba / Reinaldo Arenas ; translated by Andrew Hurley.</t>
        </is>
      </c>
      <c r="H961" t="inlineStr">
        <is>
          <t>No</t>
        </is>
      </c>
      <c r="I961" t="inlineStr">
        <is>
          <t>1</t>
        </is>
      </c>
      <c r="J961" t="inlineStr">
        <is>
          <t>No</t>
        </is>
      </c>
      <c r="K961" t="inlineStr">
        <is>
          <t>No</t>
        </is>
      </c>
      <c r="L961" t="inlineStr">
        <is>
          <t>0</t>
        </is>
      </c>
      <c r="M961" t="inlineStr">
        <is>
          <t>Arenas, Reinaldo, 1943-1990.</t>
        </is>
      </c>
      <c r="N961" t="inlineStr">
        <is>
          <t>New York, N.Y., U.S.A. : Penguin Books, 1987, c1986.</t>
        </is>
      </c>
      <c r="O961" t="inlineStr">
        <is>
          <t>1987</t>
        </is>
      </c>
      <c r="Q961" t="inlineStr">
        <is>
          <t>eng</t>
        </is>
      </c>
      <c r="R961" t="inlineStr">
        <is>
          <t>nyu</t>
        </is>
      </c>
      <c r="T961" t="inlineStr">
        <is>
          <t xml:space="preserve">PQ </t>
        </is>
      </c>
      <c r="U961" t="n">
        <v>3</v>
      </c>
      <c r="V961" t="n">
        <v>3</v>
      </c>
      <c r="W961" t="inlineStr">
        <is>
          <t>1998-03-06</t>
        </is>
      </c>
      <c r="X961" t="inlineStr">
        <is>
          <t>1998-03-06</t>
        </is>
      </c>
      <c r="Y961" t="inlineStr">
        <is>
          <t>1992-06-02</t>
        </is>
      </c>
      <c r="Z961" t="inlineStr">
        <is>
          <t>1992-06-02</t>
        </is>
      </c>
      <c r="AA961" t="n">
        <v>179</v>
      </c>
      <c r="AB961" t="n">
        <v>149</v>
      </c>
      <c r="AC961" t="n">
        <v>565</v>
      </c>
      <c r="AD961" t="n">
        <v>2</v>
      </c>
      <c r="AE961" t="n">
        <v>2</v>
      </c>
      <c r="AF961" t="n">
        <v>5</v>
      </c>
      <c r="AG961" t="n">
        <v>21</v>
      </c>
      <c r="AH961" t="n">
        <v>0</v>
      </c>
      <c r="AI961" t="n">
        <v>7</v>
      </c>
      <c r="AJ961" t="n">
        <v>2</v>
      </c>
      <c r="AK961" t="n">
        <v>7</v>
      </c>
      <c r="AL961" t="n">
        <v>3</v>
      </c>
      <c r="AM961" t="n">
        <v>11</v>
      </c>
      <c r="AN961" t="n">
        <v>1</v>
      </c>
      <c r="AO961" t="n">
        <v>1</v>
      </c>
      <c r="AP961" t="n">
        <v>0</v>
      </c>
      <c r="AQ961" t="n">
        <v>0</v>
      </c>
      <c r="AR961" t="inlineStr">
        <is>
          <t>No</t>
        </is>
      </c>
      <c r="AS961" t="inlineStr">
        <is>
          <t>No</t>
        </is>
      </c>
      <c r="AU961">
        <f>HYPERLINK("https://creighton-primo.hosted.exlibrisgroup.com/primo-explore/search?tab=default_tab&amp;search_scope=EVERYTHING&amp;vid=01CRU&amp;lang=en_US&amp;offset=0&amp;query=any,contains,991000909019702656","Catalog Record")</f>
        <v/>
      </c>
      <c r="AV961">
        <f>HYPERLINK("http://www.worldcat.org/oclc/14129303","WorldCat Record")</f>
        <v/>
      </c>
      <c r="AW961" t="inlineStr">
        <is>
          <t>104509526:eng</t>
        </is>
      </c>
      <c r="AX961" t="inlineStr">
        <is>
          <t>14129303</t>
        </is>
      </c>
      <c r="AY961" t="inlineStr">
        <is>
          <t>991000909019702656</t>
        </is>
      </c>
      <c r="AZ961" t="inlineStr">
        <is>
          <t>991000909019702656</t>
        </is>
      </c>
      <c r="BA961" t="inlineStr">
        <is>
          <t>2258323990002656</t>
        </is>
      </c>
      <c r="BB961" t="inlineStr">
        <is>
          <t>BOOK</t>
        </is>
      </c>
      <c r="BD961" t="inlineStr">
        <is>
          <t>9780140066364</t>
        </is>
      </c>
      <c r="BE961" t="inlineStr">
        <is>
          <t>32285001125565</t>
        </is>
      </c>
      <c r="BF961" t="inlineStr">
        <is>
          <t>893515732</t>
        </is>
      </c>
    </row>
    <row r="962">
      <c r="A962" t="inlineStr">
        <is>
          <t>No</t>
        </is>
      </c>
      <c r="B962" t="inlineStr">
        <is>
          <t>CURAL</t>
        </is>
      </c>
      <c r="C962" t="inlineStr">
        <is>
          <t>SHELVES</t>
        </is>
      </c>
      <c r="D962" t="inlineStr">
        <is>
          <t>PQ7390.A72 Z64 1999</t>
        </is>
      </c>
      <c r="E962" t="inlineStr">
        <is>
          <t>0                      PQ 7390000A  72                 Z  64          1999</t>
        </is>
      </c>
      <c r="F962" t="inlineStr">
        <is>
          <t>Ideología y subversión : otra vez Arenas / Reinaldo Sánchez, Humberto López Cruz, editores ; epílogo de Alfredo Pérez Alencart.</t>
        </is>
      </c>
      <c r="H962" t="inlineStr">
        <is>
          <t>No</t>
        </is>
      </c>
      <c r="I962" t="inlineStr">
        <is>
          <t>1</t>
        </is>
      </c>
      <c r="J962" t="inlineStr">
        <is>
          <t>No</t>
        </is>
      </c>
      <c r="K962" t="inlineStr">
        <is>
          <t>No</t>
        </is>
      </c>
      <c r="L962" t="inlineStr">
        <is>
          <t>0</t>
        </is>
      </c>
      <c r="N962" t="inlineStr">
        <is>
          <t>Salamanca, España : Centro de Estudios Ibéricos y Americanos de Salamanca "Federico de Onís--Miguel Torga," [1999]</t>
        </is>
      </c>
      <c r="O962" t="inlineStr">
        <is>
          <t>1999</t>
        </is>
      </c>
      <c r="Q962" t="inlineStr">
        <is>
          <t>spa</t>
        </is>
      </c>
      <c r="R962" t="inlineStr">
        <is>
          <t xml:space="preserve">sp </t>
        </is>
      </c>
      <c r="S962" t="inlineStr">
        <is>
          <t>Colección Salamanca. Serie gris, poesía y ensayo literario ; 5</t>
        </is>
      </c>
      <c r="T962" t="inlineStr">
        <is>
          <t xml:space="preserve">PQ </t>
        </is>
      </c>
      <c r="U962" t="n">
        <v>1</v>
      </c>
      <c r="V962" t="n">
        <v>1</v>
      </c>
      <c r="W962" t="inlineStr">
        <is>
          <t>2005-04-25</t>
        </is>
      </c>
      <c r="X962" t="inlineStr">
        <is>
          <t>2005-04-25</t>
        </is>
      </c>
      <c r="Y962" t="inlineStr">
        <is>
          <t>2004-03-03</t>
        </is>
      </c>
      <c r="Z962" t="inlineStr">
        <is>
          <t>2004-03-03</t>
        </is>
      </c>
      <c r="AA962" t="n">
        <v>30</v>
      </c>
      <c r="AB962" t="n">
        <v>29</v>
      </c>
      <c r="AC962" t="n">
        <v>30</v>
      </c>
      <c r="AD962" t="n">
        <v>1</v>
      </c>
      <c r="AE962" t="n">
        <v>1</v>
      </c>
      <c r="AF962" t="n">
        <v>0</v>
      </c>
      <c r="AG962" t="n">
        <v>0</v>
      </c>
      <c r="AH962" t="n">
        <v>0</v>
      </c>
      <c r="AI962" t="n">
        <v>0</v>
      </c>
      <c r="AJ962" t="n">
        <v>0</v>
      </c>
      <c r="AK962" t="n">
        <v>0</v>
      </c>
      <c r="AL962" t="n">
        <v>0</v>
      </c>
      <c r="AM962" t="n">
        <v>0</v>
      </c>
      <c r="AN962" t="n">
        <v>0</v>
      </c>
      <c r="AO962" t="n">
        <v>0</v>
      </c>
      <c r="AP962" t="n">
        <v>0</v>
      </c>
      <c r="AQ962" t="n">
        <v>0</v>
      </c>
      <c r="AR962" t="inlineStr">
        <is>
          <t>No</t>
        </is>
      </c>
      <c r="AS962" t="inlineStr">
        <is>
          <t>Yes</t>
        </is>
      </c>
      <c r="AT962">
        <f>HYPERLINK("http://catalog.hathitrust.org/Record/003499727","HathiTrust Record")</f>
        <v/>
      </c>
      <c r="AU962">
        <f>HYPERLINK("https://creighton-primo.hosted.exlibrisgroup.com/primo-explore/search?tab=default_tab&amp;search_scope=EVERYTHING&amp;vid=01CRU&amp;lang=en_US&amp;offset=0&amp;query=any,contains,991004160429702656","Catalog Record")</f>
        <v/>
      </c>
      <c r="AV962">
        <f>HYPERLINK("http://www.worldcat.org/oclc/43903208","WorldCat Record")</f>
        <v/>
      </c>
      <c r="AW962" t="inlineStr">
        <is>
          <t>320624334:spa</t>
        </is>
      </c>
      <c r="AX962" t="inlineStr">
        <is>
          <t>43903208</t>
        </is>
      </c>
      <c r="AY962" t="inlineStr">
        <is>
          <t>991004160429702656</t>
        </is>
      </c>
      <c r="AZ962" t="inlineStr">
        <is>
          <t>991004160429702656</t>
        </is>
      </c>
      <c r="BA962" t="inlineStr">
        <is>
          <t>2258367580002656</t>
        </is>
      </c>
      <c r="BB962" t="inlineStr">
        <is>
          <t>BOOK</t>
        </is>
      </c>
      <c r="BD962" t="inlineStr">
        <is>
          <t>9788493029555</t>
        </is>
      </c>
      <c r="BE962" t="inlineStr">
        <is>
          <t>32285004891981</t>
        </is>
      </c>
      <c r="BF962" t="inlineStr">
        <is>
          <t>893337393</t>
        </is>
      </c>
    </row>
    <row r="963">
      <c r="A963" t="inlineStr">
        <is>
          <t>No</t>
        </is>
      </c>
      <c r="B963" t="inlineStr">
        <is>
          <t>CURAL</t>
        </is>
      </c>
      <c r="C963" t="inlineStr">
        <is>
          <t>SHELVES</t>
        </is>
      </c>
      <c r="D963" t="inlineStr">
        <is>
          <t>PQ7390.B3 G34 1985</t>
        </is>
      </c>
      <c r="E963" t="inlineStr">
        <is>
          <t>0                      PQ 7390000B  3                  G  34          1985</t>
        </is>
      </c>
      <c r="F963" t="inlineStr">
        <is>
          <t>Gallego / Miguel Barnet.</t>
        </is>
      </c>
      <c r="H963" t="inlineStr">
        <is>
          <t>No</t>
        </is>
      </c>
      <c r="I963" t="inlineStr">
        <is>
          <t>1</t>
        </is>
      </c>
      <c r="J963" t="inlineStr">
        <is>
          <t>No</t>
        </is>
      </c>
      <c r="K963" t="inlineStr">
        <is>
          <t>No</t>
        </is>
      </c>
      <c r="L963" t="inlineStr">
        <is>
          <t>0</t>
        </is>
      </c>
      <c r="M963" t="inlineStr">
        <is>
          <t>Barnet, Miguel, 1940-</t>
        </is>
      </c>
      <c r="N963" t="inlineStr">
        <is>
          <t>La Habana : Letras Cubanas, 1983.</t>
        </is>
      </c>
      <c r="O963" t="inlineStr">
        <is>
          <t>1985</t>
        </is>
      </c>
      <c r="Q963" t="inlineStr">
        <is>
          <t>spa</t>
        </is>
      </c>
      <c r="R963" t="inlineStr">
        <is>
          <t xml:space="preserve">cu </t>
        </is>
      </c>
      <c r="T963" t="inlineStr">
        <is>
          <t xml:space="preserve">PQ </t>
        </is>
      </c>
      <c r="U963" t="n">
        <v>1</v>
      </c>
      <c r="V963" t="n">
        <v>1</v>
      </c>
      <c r="W963" t="inlineStr">
        <is>
          <t>2001-11-14</t>
        </is>
      </c>
      <c r="X963" t="inlineStr">
        <is>
          <t>2001-11-14</t>
        </is>
      </c>
      <c r="Y963" t="inlineStr">
        <is>
          <t>2001-11-13</t>
        </is>
      </c>
      <c r="Z963" t="inlineStr">
        <is>
          <t>2001-11-13</t>
        </is>
      </c>
      <c r="AA963" t="n">
        <v>34</v>
      </c>
      <c r="AB963" t="n">
        <v>28</v>
      </c>
      <c r="AC963" t="n">
        <v>172</v>
      </c>
      <c r="AD963" t="n">
        <v>1</v>
      </c>
      <c r="AE963" t="n">
        <v>1</v>
      </c>
      <c r="AF963" t="n">
        <v>0</v>
      </c>
      <c r="AG963" t="n">
        <v>9</v>
      </c>
      <c r="AH963" t="n">
        <v>0</v>
      </c>
      <c r="AI963" t="n">
        <v>1</v>
      </c>
      <c r="AJ963" t="n">
        <v>0</v>
      </c>
      <c r="AK963" t="n">
        <v>5</v>
      </c>
      <c r="AL963" t="n">
        <v>0</v>
      </c>
      <c r="AM963" t="n">
        <v>5</v>
      </c>
      <c r="AN963" t="n">
        <v>0</v>
      </c>
      <c r="AO963" t="n">
        <v>0</v>
      </c>
      <c r="AP963" t="n">
        <v>0</v>
      </c>
      <c r="AQ963" t="n">
        <v>0</v>
      </c>
      <c r="AR963" t="inlineStr">
        <is>
          <t>No</t>
        </is>
      </c>
      <c r="AS963" t="inlineStr">
        <is>
          <t>Yes</t>
        </is>
      </c>
      <c r="AT963">
        <f>HYPERLINK("http://catalog.hathitrust.org/Record/003157936","HathiTrust Record")</f>
        <v/>
      </c>
      <c r="AU963">
        <f>HYPERLINK("https://creighton-primo.hosted.exlibrisgroup.com/primo-explore/search?tab=default_tab&amp;search_scope=EVERYTHING&amp;vid=01CRU&amp;lang=en_US&amp;offset=0&amp;query=any,contains,991003678499702656","Catalog Record")</f>
        <v/>
      </c>
      <c r="AV963">
        <f>HYPERLINK("http://www.worldcat.org/oclc/15599277","WorldCat Record")</f>
        <v/>
      </c>
      <c r="AW963" t="inlineStr">
        <is>
          <t>3520959:spa</t>
        </is>
      </c>
      <c r="AX963" t="inlineStr">
        <is>
          <t>15599277</t>
        </is>
      </c>
      <c r="AY963" t="inlineStr">
        <is>
          <t>991003678499702656</t>
        </is>
      </c>
      <c r="AZ963" t="inlineStr">
        <is>
          <t>991003678499702656</t>
        </is>
      </c>
      <c r="BA963" t="inlineStr">
        <is>
          <t>2259246170002656</t>
        </is>
      </c>
      <c r="BB963" t="inlineStr">
        <is>
          <t>BOOK</t>
        </is>
      </c>
      <c r="BE963" t="inlineStr">
        <is>
          <t>32285004411392</t>
        </is>
      </c>
      <c r="BF963" t="inlineStr">
        <is>
          <t>893699279</t>
        </is>
      </c>
    </row>
    <row r="964">
      <c r="A964" t="inlineStr">
        <is>
          <t>No</t>
        </is>
      </c>
      <c r="B964" t="inlineStr">
        <is>
          <t>CURAL</t>
        </is>
      </c>
      <c r="C964" t="inlineStr">
        <is>
          <t>SHELVES</t>
        </is>
      </c>
      <c r="D964" t="inlineStr">
        <is>
          <t>PQ7390.C53 A48 1980</t>
        </is>
      </c>
      <c r="E964" t="inlineStr">
        <is>
          <t>0                      PQ 7390000C  53                 A  48          1980</t>
        </is>
      </c>
      <c r="F964" t="inlineStr">
        <is>
          <t>Agua y fuego / Elsa Claro.</t>
        </is>
      </c>
      <c r="H964" t="inlineStr">
        <is>
          <t>No</t>
        </is>
      </c>
      <c r="I964" t="inlineStr">
        <is>
          <t>1</t>
        </is>
      </c>
      <c r="J964" t="inlineStr">
        <is>
          <t>No</t>
        </is>
      </c>
      <c r="K964" t="inlineStr">
        <is>
          <t>No</t>
        </is>
      </c>
      <c r="L964" t="inlineStr">
        <is>
          <t>0</t>
        </is>
      </c>
      <c r="M964" t="inlineStr">
        <is>
          <t>Claro, Elsa.</t>
        </is>
      </c>
      <c r="N964" t="inlineStr">
        <is>
          <t>Ciudad de la Habana [Cuba] : Unión de Escritores y Artistas de Cuba, c1980.</t>
        </is>
      </c>
      <c r="O964" t="inlineStr">
        <is>
          <t>1980</t>
        </is>
      </c>
      <c r="Q964" t="inlineStr">
        <is>
          <t>spa</t>
        </is>
      </c>
      <c r="R964" t="inlineStr">
        <is>
          <t xml:space="preserve">cu </t>
        </is>
      </c>
      <c r="S964" t="inlineStr">
        <is>
          <t>Manjuarí. Poesía</t>
        </is>
      </c>
      <c r="T964" t="inlineStr">
        <is>
          <t xml:space="preserve">PQ </t>
        </is>
      </c>
      <c r="U964" t="n">
        <v>1</v>
      </c>
      <c r="V964" t="n">
        <v>1</v>
      </c>
      <c r="W964" t="inlineStr">
        <is>
          <t>2003-02-10</t>
        </is>
      </c>
      <c r="X964" t="inlineStr">
        <is>
          <t>2003-02-10</t>
        </is>
      </c>
      <c r="Y964" t="inlineStr">
        <is>
          <t>2003-02-03</t>
        </is>
      </c>
      <c r="Z964" t="inlineStr">
        <is>
          <t>2003-02-03</t>
        </is>
      </c>
      <c r="AA964" t="n">
        <v>3</v>
      </c>
      <c r="AB964" t="n">
        <v>1</v>
      </c>
      <c r="AC964" t="n">
        <v>1</v>
      </c>
      <c r="AD964" t="n">
        <v>1</v>
      </c>
      <c r="AE964" t="n">
        <v>1</v>
      </c>
      <c r="AF964" t="n">
        <v>0</v>
      </c>
      <c r="AG964" t="n">
        <v>0</v>
      </c>
      <c r="AH964" t="n">
        <v>0</v>
      </c>
      <c r="AI964" t="n">
        <v>0</v>
      </c>
      <c r="AJ964" t="n">
        <v>0</v>
      </c>
      <c r="AK964" t="n">
        <v>0</v>
      </c>
      <c r="AL964" t="n">
        <v>0</v>
      </c>
      <c r="AM964" t="n">
        <v>0</v>
      </c>
      <c r="AN964" t="n">
        <v>0</v>
      </c>
      <c r="AO964" t="n">
        <v>0</v>
      </c>
      <c r="AP964" t="n">
        <v>0</v>
      </c>
      <c r="AQ964" t="n">
        <v>0</v>
      </c>
      <c r="AR964" t="inlineStr">
        <is>
          <t>No</t>
        </is>
      </c>
      <c r="AS964" t="inlineStr">
        <is>
          <t>No</t>
        </is>
      </c>
      <c r="AU964">
        <f>HYPERLINK("https://creighton-primo.hosted.exlibrisgroup.com/primo-explore/search?tab=default_tab&amp;search_scope=EVERYTHING&amp;vid=01CRU&amp;lang=en_US&amp;offset=0&amp;query=any,contains,991003985829702656","Catalog Record")</f>
        <v/>
      </c>
      <c r="AV964">
        <f>HYPERLINK("http://www.worldcat.org/oclc/51509327","WorldCat Record")</f>
        <v/>
      </c>
      <c r="AW964" t="inlineStr">
        <is>
          <t>8510455:spa</t>
        </is>
      </c>
      <c r="AX964" t="inlineStr">
        <is>
          <t>51509327</t>
        </is>
      </c>
      <c r="AY964" t="inlineStr">
        <is>
          <t>991003985829702656</t>
        </is>
      </c>
      <c r="AZ964" t="inlineStr">
        <is>
          <t>991003985829702656</t>
        </is>
      </c>
      <c r="BA964" t="inlineStr">
        <is>
          <t>2263765720002656</t>
        </is>
      </c>
      <c r="BB964" t="inlineStr">
        <is>
          <t>BOOK</t>
        </is>
      </c>
      <c r="BE964" t="inlineStr">
        <is>
          <t>32285004631700</t>
        </is>
      </c>
      <c r="BF964" t="inlineStr">
        <is>
          <t>893519129</t>
        </is>
      </c>
    </row>
    <row r="965">
      <c r="A965" t="inlineStr">
        <is>
          <t>No</t>
        </is>
      </c>
      <c r="B965" t="inlineStr">
        <is>
          <t>CURAL</t>
        </is>
      </c>
      <c r="C965" t="inlineStr">
        <is>
          <t>SHELVES</t>
        </is>
      </c>
      <c r="D965" t="inlineStr">
        <is>
          <t>PQ7390.C623 C83 1978</t>
        </is>
      </c>
      <c r="E965" t="inlineStr">
        <is>
          <t>0                      PQ 7390000C  623                C  83          1978</t>
        </is>
      </c>
      <c r="F965" t="inlineStr">
        <is>
          <t>Cuaderno para el que va a nacer / Félix Contreras.</t>
        </is>
      </c>
      <c r="H965" t="inlineStr">
        <is>
          <t>No</t>
        </is>
      </c>
      <c r="I965" t="inlineStr">
        <is>
          <t>1</t>
        </is>
      </c>
      <c r="J965" t="inlineStr">
        <is>
          <t>No</t>
        </is>
      </c>
      <c r="K965" t="inlineStr">
        <is>
          <t>No</t>
        </is>
      </c>
      <c r="L965" t="inlineStr">
        <is>
          <t>0</t>
        </is>
      </c>
      <c r="M965" t="inlineStr">
        <is>
          <t>Contreras, Félix.</t>
        </is>
      </c>
      <c r="N965" t="inlineStr">
        <is>
          <t>Ciudad de La Habana : Unión de Escritores y Artistas de Cuba, c1978.</t>
        </is>
      </c>
      <c r="O965" t="inlineStr">
        <is>
          <t>1978</t>
        </is>
      </c>
      <c r="Q965" t="inlineStr">
        <is>
          <t>spa</t>
        </is>
      </c>
      <c r="R965" t="inlineStr">
        <is>
          <t xml:space="preserve">cu </t>
        </is>
      </c>
      <c r="S965" t="inlineStr">
        <is>
          <t>Manjuarí. Poesía</t>
        </is>
      </c>
      <c r="T965" t="inlineStr">
        <is>
          <t xml:space="preserve">PQ </t>
        </is>
      </c>
      <c r="U965" t="n">
        <v>1</v>
      </c>
      <c r="V965" t="n">
        <v>1</v>
      </c>
      <c r="W965" t="inlineStr">
        <is>
          <t>2001-11-14</t>
        </is>
      </c>
      <c r="X965" t="inlineStr">
        <is>
          <t>2001-11-14</t>
        </is>
      </c>
      <c r="Y965" t="inlineStr">
        <is>
          <t>2001-11-13</t>
        </is>
      </c>
      <c r="Z965" t="inlineStr">
        <is>
          <t>2001-11-13</t>
        </is>
      </c>
      <c r="AA965" t="n">
        <v>3</v>
      </c>
      <c r="AB965" t="n">
        <v>3</v>
      </c>
      <c r="AC965" t="n">
        <v>3</v>
      </c>
      <c r="AD965" t="n">
        <v>1</v>
      </c>
      <c r="AE965" t="n">
        <v>1</v>
      </c>
      <c r="AF965" t="n">
        <v>0</v>
      </c>
      <c r="AG965" t="n">
        <v>0</v>
      </c>
      <c r="AH965" t="n">
        <v>0</v>
      </c>
      <c r="AI965" t="n">
        <v>0</v>
      </c>
      <c r="AJ965" t="n">
        <v>0</v>
      </c>
      <c r="AK965" t="n">
        <v>0</v>
      </c>
      <c r="AL965" t="n">
        <v>0</v>
      </c>
      <c r="AM965" t="n">
        <v>0</v>
      </c>
      <c r="AN965" t="n">
        <v>0</v>
      </c>
      <c r="AO965" t="n">
        <v>0</v>
      </c>
      <c r="AP965" t="n">
        <v>0</v>
      </c>
      <c r="AQ965" t="n">
        <v>0</v>
      </c>
      <c r="AR965" t="inlineStr">
        <is>
          <t>No</t>
        </is>
      </c>
      <c r="AS965" t="inlineStr">
        <is>
          <t>No</t>
        </is>
      </c>
      <c r="AU965">
        <f>HYPERLINK("https://creighton-primo.hosted.exlibrisgroup.com/primo-explore/search?tab=default_tab&amp;search_scope=EVERYTHING&amp;vid=01CRU&amp;lang=en_US&amp;offset=0&amp;query=any,contains,991003677949702656","Catalog Record")</f>
        <v/>
      </c>
      <c r="AV965">
        <f>HYPERLINK("http://www.worldcat.org/oclc/20397127","WorldCat Record")</f>
        <v/>
      </c>
      <c r="AW965" t="inlineStr">
        <is>
          <t>22756397:spa</t>
        </is>
      </c>
      <c r="AX965" t="inlineStr">
        <is>
          <t>20397127</t>
        </is>
      </c>
      <c r="AY965" t="inlineStr">
        <is>
          <t>991003677949702656</t>
        </is>
      </c>
      <c r="AZ965" t="inlineStr">
        <is>
          <t>991003677949702656</t>
        </is>
      </c>
      <c r="BA965" t="inlineStr">
        <is>
          <t>2262828350002656</t>
        </is>
      </c>
      <c r="BB965" t="inlineStr">
        <is>
          <t>BOOK</t>
        </is>
      </c>
      <c r="BE965" t="inlineStr">
        <is>
          <t>32285004411228</t>
        </is>
      </c>
      <c r="BF965" t="inlineStr">
        <is>
          <t>893875029</t>
        </is>
      </c>
    </row>
    <row r="966">
      <c r="A966" t="inlineStr">
        <is>
          <t>No</t>
        </is>
      </c>
      <c r="B966" t="inlineStr">
        <is>
          <t>CURAL</t>
        </is>
      </c>
      <c r="C966" t="inlineStr">
        <is>
          <t>SHELVES</t>
        </is>
      </c>
      <c r="D966" t="inlineStr">
        <is>
          <t>PQ7390.D58 A6 1983</t>
        </is>
      </c>
      <c r="E966" t="inlineStr">
        <is>
          <t>0                      PQ 7390000D  58                 A  6           1983</t>
        </is>
      </c>
      <c r="F966" t="inlineStr">
        <is>
          <t>Prosas escogidas / Eliseo Diego.</t>
        </is>
      </c>
      <c r="H966" t="inlineStr">
        <is>
          <t>No</t>
        </is>
      </c>
      <c r="I966" t="inlineStr">
        <is>
          <t>1</t>
        </is>
      </c>
      <c r="J966" t="inlineStr">
        <is>
          <t>No</t>
        </is>
      </c>
      <c r="K966" t="inlineStr">
        <is>
          <t>No</t>
        </is>
      </c>
      <c r="L966" t="inlineStr">
        <is>
          <t>0</t>
        </is>
      </c>
      <c r="M966" t="inlineStr">
        <is>
          <t>Diego, Eliseo.</t>
        </is>
      </c>
      <c r="N966" t="inlineStr">
        <is>
          <t>Ciudad de La Habana, Cuba : Editorial Letras Cubanas, 1983.</t>
        </is>
      </c>
      <c r="O966" t="inlineStr">
        <is>
          <t>1983</t>
        </is>
      </c>
      <c r="Q966" t="inlineStr">
        <is>
          <t>spa</t>
        </is>
      </c>
      <c r="R966" t="inlineStr">
        <is>
          <t xml:space="preserve">cu </t>
        </is>
      </c>
      <c r="S966" t="inlineStr">
        <is>
          <t>Letras cubanas</t>
        </is>
      </c>
      <c r="T966" t="inlineStr">
        <is>
          <t xml:space="preserve">PQ </t>
        </is>
      </c>
      <c r="U966" t="n">
        <v>1</v>
      </c>
      <c r="V966" t="n">
        <v>1</v>
      </c>
      <c r="W966" t="inlineStr">
        <is>
          <t>2004-08-03</t>
        </is>
      </c>
      <c r="X966" t="inlineStr">
        <is>
          <t>2004-08-03</t>
        </is>
      </c>
      <c r="Y966" t="inlineStr">
        <is>
          <t>2004-08-03</t>
        </is>
      </c>
      <c r="Z966" t="inlineStr">
        <is>
          <t>2004-08-03</t>
        </is>
      </c>
      <c r="AA966" t="n">
        <v>75</v>
      </c>
      <c r="AB966" t="n">
        <v>58</v>
      </c>
      <c r="AC966" t="n">
        <v>60</v>
      </c>
      <c r="AD966" t="n">
        <v>1</v>
      </c>
      <c r="AE966" t="n">
        <v>1</v>
      </c>
      <c r="AF966" t="n">
        <v>1</v>
      </c>
      <c r="AG966" t="n">
        <v>1</v>
      </c>
      <c r="AH966" t="n">
        <v>0</v>
      </c>
      <c r="AI966" t="n">
        <v>0</v>
      </c>
      <c r="AJ966" t="n">
        <v>1</v>
      </c>
      <c r="AK966" t="n">
        <v>1</v>
      </c>
      <c r="AL966" t="n">
        <v>0</v>
      </c>
      <c r="AM966" t="n">
        <v>0</v>
      </c>
      <c r="AN966" t="n">
        <v>0</v>
      </c>
      <c r="AO966" t="n">
        <v>0</v>
      </c>
      <c r="AP966" t="n">
        <v>0</v>
      </c>
      <c r="AQ966" t="n">
        <v>0</v>
      </c>
      <c r="AR966" t="inlineStr">
        <is>
          <t>No</t>
        </is>
      </c>
      <c r="AS966" t="inlineStr">
        <is>
          <t>Yes</t>
        </is>
      </c>
      <c r="AT966">
        <f>HYPERLINK("http://catalog.hathitrust.org/Record/006714160","HathiTrust Record")</f>
        <v/>
      </c>
      <c r="AU966">
        <f>HYPERLINK("https://creighton-primo.hosted.exlibrisgroup.com/primo-explore/search?tab=default_tab&amp;search_scope=EVERYTHING&amp;vid=01CRU&amp;lang=en_US&amp;offset=0&amp;query=any,contains,991004334679702656","Catalog Record")</f>
        <v/>
      </c>
      <c r="AV966">
        <f>HYPERLINK("http://www.worldcat.org/oclc/12054171","WorldCat Record")</f>
        <v/>
      </c>
      <c r="AW966" t="inlineStr">
        <is>
          <t>4403407:spa</t>
        </is>
      </c>
      <c r="AX966" t="inlineStr">
        <is>
          <t>12054171</t>
        </is>
      </c>
      <c r="AY966" t="inlineStr">
        <is>
          <t>991004334679702656</t>
        </is>
      </c>
      <c r="AZ966" t="inlineStr">
        <is>
          <t>991004334679702656</t>
        </is>
      </c>
      <c r="BA966" t="inlineStr">
        <is>
          <t>2260123560002656</t>
        </is>
      </c>
      <c r="BB966" t="inlineStr">
        <is>
          <t>BOOK</t>
        </is>
      </c>
      <c r="BE966" t="inlineStr">
        <is>
          <t>32285004928015</t>
        </is>
      </c>
      <c r="BF966" t="inlineStr">
        <is>
          <t>893775901</t>
        </is>
      </c>
    </row>
    <row r="967">
      <c r="A967" t="inlineStr">
        <is>
          <t>No</t>
        </is>
      </c>
      <c r="B967" t="inlineStr">
        <is>
          <t>CURAL</t>
        </is>
      </c>
      <c r="C967" t="inlineStr">
        <is>
          <t>SHELVES</t>
        </is>
      </c>
      <c r="D967" t="inlineStr">
        <is>
          <t>PQ7390.F507 A52 1986</t>
        </is>
      </c>
      <c r="E967" t="inlineStr">
        <is>
          <t>0                      PQ 7390000F  507                A  52          1986</t>
        </is>
      </c>
      <c r="F967" t="inlineStr">
        <is>
          <t>Andar aprisa / Armando Ferrer.</t>
        </is>
      </c>
      <c r="H967" t="inlineStr">
        <is>
          <t>No</t>
        </is>
      </c>
      <c r="I967" t="inlineStr">
        <is>
          <t>1</t>
        </is>
      </c>
      <c r="J967" t="inlineStr">
        <is>
          <t>No</t>
        </is>
      </c>
      <c r="K967" t="inlineStr">
        <is>
          <t>No</t>
        </is>
      </c>
      <c r="L967" t="inlineStr">
        <is>
          <t>0</t>
        </is>
      </c>
      <c r="M967" t="inlineStr">
        <is>
          <t>Ferrer Castro, Armando, 1942-</t>
        </is>
      </c>
      <c r="N967" t="inlineStr">
        <is>
          <t>[S.l. : s.n.], c1986</t>
        </is>
      </c>
      <c r="O967" t="inlineStr">
        <is>
          <t>1986</t>
        </is>
      </c>
      <c r="Q967" t="inlineStr">
        <is>
          <t>spa</t>
        </is>
      </c>
      <c r="R967" t="inlineStr">
        <is>
          <t xml:space="preserve">xx </t>
        </is>
      </c>
      <c r="T967" t="inlineStr">
        <is>
          <t xml:space="preserve">PQ </t>
        </is>
      </c>
      <c r="U967" t="n">
        <v>1</v>
      </c>
      <c r="V967" t="n">
        <v>1</v>
      </c>
      <c r="W967" t="inlineStr">
        <is>
          <t>2001-12-10</t>
        </is>
      </c>
      <c r="X967" t="inlineStr">
        <is>
          <t>2001-12-10</t>
        </is>
      </c>
      <c r="Y967" t="inlineStr">
        <is>
          <t>2001-12-10</t>
        </is>
      </c>
      <c r="Z967" t="inlineStr">
        <is>
          <t>2001-12-10</t>
        </is>
      </c>
      <c r="AA967" t="n">
        <v>2</v>
      </c>
      <c r="AB967" t="n">
        <v>2</v>
      </c>
      <c r="AC967" t="n">
        <v>2</v>
      </c>
      <c r="AD967" t="n">
        <v>1</v>
      </c>
      <c r="AE967" t="n">
        <v>1</v>
      </c>
      <c r="AF967" t="n">
        <v>0</v>
      </c>
      <c r="AG967" t="n">
        <v>0</v>
      </c>
      <c r="AH967" t="n">
        <v>0</v>
      </c>
      <c r="AI967" t="n">
        <v>0</v>
      </c>
      <c r="AJ967" t="n">
        <v>0</v>
      </c>
      <c r="AK967" t="n">
        <v>0</v>
      </c>
      <c r="AL967" t="n">
        <v>0</v>
      </c>
      <c r="AM967" t="n">
        <v>0</v>
      </c>
      <c r="AN967" t="n">
        <v>0</v>
      </c>
      <c r="AO967" t="n">
        <v>0</v>
      </c>
      <c r="AP967" t="n">
        <v>0</v>
      </c>
      <c r="AQ967" t="n">
        <v>0</v>
      </c>
      <c r="AR967" t="inlineStr">
        <is>
          <t>No</t>
        </is>
      </c>
      <c r="AS967" t="inlineStr">
        <is>
          <t>No</t>
        </is>
      </c>
      <c r="AU967">
        <f>HYPERLINK("https://creighton-primo.hosted.exlibrisgroup.com/primo-explore/search?tab=default_tab&amp;search_scope=EVERYTHING&amp;vid=01CRU&amp;lang=en_US&amp;offset=0&amp;query=any,contains,991003692969702656","Catalog Record")</f>
        <v/>
      </c>
      <c r="AV967">
        <f>HYPERLINK("http://www.worldcat.org/oclc/35334333","WorldCat Record")</f>
        <v/>
      </c>
      <c r="AW967" t="inlineStr">
        <is>
          <t>9490359531:spa</t>
        </is>
      </c>
      <c r="AX967" t="inlineStr">
        <is>
          <t>35334333</t>
        </is>
      </c>
      <c r="AY967" t="inlineStr">
        <is>
          <t>991003692969702656</t>
        </is>
      </c>
      <c r="AZ967" t="inlineStr">
        <is>
          <t>991003692969702656</t>
        </is>
      </c>
      <c r="BA967" t="inlineStr">
        <is>
          <t>2258246220002656</t>
        </is>
      </c>
      <c r="BB967" t="inlineStr">
        <is>
          <t>BOOK</t>
        </is>
      </c>
      <c r="BE967" t="inlineStr">
        <is>
          <t>32285004427042</t>
        </is>
      </c>
      <c r="BF967" t="inlineStr">
        <is>
          <t>893324352</t>
        </is>
      </c>
    </row>
    <row r="968">
      <c r="A968" t="inlineStr">
        <is>
          <t>No</t>
        </is>
      </c>
      <c r="B968" t="inlineStr">
        <is>
          <t>CURAL</t>
        </is>
      </c>
      <c r="C968" t="inlineStr">
        <is>
          <t>SHELVES</t>
        </is>
      </c>
      <c r="D968" t="inlineStr">
        <is>
          <t>PQ7390.G66 C66 1993</t>
        </is>
      </c>
      <c r="E968" t="inlineStr">
        <is>
          <t>0                      PQ 7390000G  66                 C  66          1993</t>
        </is>
      </c>
      <c r="F968" t="inlineStr">
        <is>
          <t>El concilio de las fábulas / Daniuska González.</t>
        </is>
      </c>
      <c r="H968" t="inlineStr">
        <is>
          <t>No</t>
        </is>
      </c>
      <c r="I968" t="inlineStr">
        <is>
          <t>1</t>
        </is>
      </c>
      <c r="J968" t="inlineStr">
        <is>
          <t>No</t>
        </is>
      </c>
      <c r="K968" t="inlineStr">
        <is>
          <t>No</t>
        </is>
      </c>
      <c r="L968" t="inlineStr">
        <is>
          <t>0</t>
        </is>
      </c>
      <c r="M968" t="inlineStr">
        <is>
          <t>González, Daniuska, 1967-</t>
        </is>
      </c>
      <c r="N968" t="inlineStr">
        <is>
          <t>Los Teques, Venezuela : Ateneo de Los Teques, 1993.</t>
        </is>
      </c>
      <c r="O968" t="inlineStr">
        <is>
          <t>1993</t>
        </is>
      </c>
      <c r="P968" t="inlineStr">
        <is>
          <t>1. ed.</t>
        </is>
      </c>
      <c r="Q968" t="inlineStr">
        <is>
          <t>spa</t>
        </is>
      </c>
      <c r="R968" t="inlineStr">
        <is>
          <t xml:space="preserve">ve </t>
        </is>
      </c>
      <c r="S968" t="inlineStr">
        <is>
          <t>Colección Ateneo de Los Teques ; no. 17</t>
        </is>
      </c>
      <c r="T968" t="inlineStr">
        <is>
          <t xml:space="preserve">PQ </t>
        </is>
      </c>
      <c r="U968" t="n">
        <v>1</v>
      </c>
      <c r="V968" t="n">
        <v>1</v>
      </c>
      <c r="W968" t="inlineStr">
        <is>
          <t>2002-06-03</t>
        </is>
      </c>
      <c r="X968" t="inlineStr">
        <is>
          <t>2002-06-03</t>
        </is>
      </c>
      <c r="Y968" t="inlineStr">
        <is>
          <t>2002-05-23</t>
        </is>
      </c>
      <c r="Z968" t="inlineStr">
        <is>
          <t>2002-05-23</t>
        </is>
      </c>
      <c r="AA968" t="n">
        <v>13</v>
      </c>
      <c r="AB968" t="n">
        <v>13</v>
      </c>
      <c r="AC968" t="n">
        <v>16</v>
      </c>
      <c r="AD968" t="n">
        <v>1</v>
      </c>
      <c r="AE968" t="n">
        <v>1</v>
      </c>
      <c r="AF968" t="n">
        <v>0</v>
      </c>
      <c r="AG968" t="n">
        <v>0</v>
      </c>
      <c r="AH968" t="n">
        <v>0</v>
      </c>
      <c r="AI968" t="n">
        <v>0</v>
      </c>
      <c r="AJ968" t="n">
        <v>0</v>
      </c>
      <c r="AK968" t="n">
        <v>0</v>
      </c>
      <c r="AL968" t="n">
        <v>0</v>
      </c>
      <c r="AM968" t="n">
        <v>0</v>
      </c>
      <c r="AN968" t="n">
        <v>0</v>
      </c>
      <c r="AO968" t="n">
        <v>0</v>
      </c>
      <c r="AP968" t="n">
        <v>0</v>
      </c>
      <c r="AQ968" t="n">
        <v>0</v>
      </c>
      <c r="AR968" t="inlineStr">
        <is>
          <t>No</t>
        </is>
      </c>
      <c r="AS968" t="inlineStr">
        <is>
          <t>Yes</t>
        </is>
      </c>
      <c r="AT968">
        <f>HYPERLINK("http://catalog.hathitrust.org/Record/101104076","HathiTrust Record")</f>
        <v/>
      </c>
      <c r="AU968">
        <f>HYPERLINK("https://creighton-primo.hosted.exlibrisgroup.com/primo-explore/search?tab=default_tab&amp;search_scope=EVERYTHING&amp;vid=01CRU&amp;lang=en_US&amp;offset=0&amp;query=any,contains,991003813679702656","Catalog Record")</f>
        <v/>
      </c>
      <c r="AV968">
        <f>HYPERLINK("http://www.worldcat.org/oclc/37936420","WorldCat Record")</f>
        <v/>
      </c>
      <c r="AW968" t="inlineStr">
        <is>
          <t>477273005:spa</t>
        </is>
      </c>
      <c r="AX968" t="inlineStr">
        <is>
          <t>37936420</t>
        </is>
      </c>
      <c r="AY968" t="inlineStr">
        <is>
          <t>991003813679702656</t>
        </is>
      </c>
      <c r="AZ968" t="inlineStr">
        <is>
          <t>991003813679702656</t>
        </is>
      </c>
      <c r="BA968" t="inlineStr">
        <is>
          <t>2265709260002656</t>
        </is>
      </c>
      <c r="BB968" t="inlineStr">
        <is>
          <t>BOOK</t>
        </is>
      </c>
      <c r="BD968" t="inlineStr">
        <is>
          <t>9789803450007</t>
        </is>
      </c>
      <c r="BE968" t="inlineStr">
        <is>
          <t>32285004490065</t>
        </is>
      </c>
      <c r="BF968" t="inlineStr">
        <is>
          <t>893598999</t>
        </is>
      </c>
    </row>
    <row r="969">
      <c r="A969" t="inlineStr">
        <is>
          <t>No</t>
        </is>
      </c>
      <c r="B969" t="inlineStr">
        <is>
          <t>CURAL</t>
        </is>
      </c>
      <c r="C969" t="inlineStr">
        <is>
          <t>SHELVES</t>
        </is>
      </c>
      <c r="D969" t="inlineStr">
        <is>
          <t>PQ7390.G83 T7513 2001</t>
        </is>
      </c>
      <c r="E969" t="inlineStr">
        <is>
          <t>0                      PQ 7390000G  83                 T  7513        2001</t>
        </is>
      </c>
      <c r="F969" t="inlineStr">
        <is>
          <t>Dirty Havana trilogy / Pedro Juan Gutiaerrez ; translated from the Spanish by Natasha Wimmer.</t>
        </is>
      </c>
      <c r="H969" t="inlineStr">
        <is>
          <t>No</t>
        </is>
      </c>
      <c r="I969" t="inlineStr">
        <is>
          <t>1</t>
        </is>
      </c>
      <c r="J969" t="inlineStr">
        <is>
          <t>No</t>
        </is>
      </c>
      <c r="K969" t="inlineStr">
        <is>
          <t>No</t>
        </is>
      </c>
      <c r="L969" t="inlineStr">
        <is>
          <t>0</t>
        </is>
      </c>
      <c r="M969" t="inlineStr">
        <is>
          <t>Gutiérrez, Pedro Juan, 1950-</t>
        </is>
      </c>
      <c r="N969" t="inlineStr">
        <is>
          <t>New York : Farrar, Straus and Giroux, 2001.</t>
        </is>
      </c>
      <c r="O969" t="inlineStr">
        <is>
          <t>2001</t>
        </is>
      </c>
      <c r="P969" t="inlineStr">
        <is>
          <t>1st American ed.</t>
        </is>
      </c>
      <c r="Q969" t="inlineStr">
        <is>
          <t>eng</t>
        </is>
      </c>
      <c r="R969" t="inlineStr">
        <is>
          <t>nyu</t>
        </is>
      </c>
      <c r="T969" t="inlineStr">
        <is>
          <t xml:space="preserve">PQ </t>
        </is>
      </c>
      <c r="U969" t="n">
        <v>3</v>
      </c>
      <c r="V969" t="n">
        <v>3</v>
      </c>
      <c r="W969" t="inlineStr">
        <is>
          <t>2003-12-19</t>
        </is>
      </c>
      <c r="X969" t="inlineStr">
        <is>
          <t>2003-12-19</t>
        </is>
      </c>
      <c r="Y969" t="inlineStr">
        <is>
          <t>2001-04-23</t>
        </is>
      </c>
      <c r="Z969" t="inlineStr">
        <is>
          <t>2001-04-23</t>
        </is>
      </c>
      <c r="AA969" t="n">
        <v>360</v>
      </c>
      <c r="AB969" t="n">
        <v>342</v>
      </c>
      <c r="AC969" t="n">
        <v>408</v>
      </c>
      <c r="AD969" t="n">
        <v>3</v>
      </c>
      <c r="AE969" t="n">
        <v>3</v>
      </c>
      <c r="AF969" t="n">
        <v>11</v>
      </c>
      <c r="AG969" t="n">
        <v>15</v>
      </c>
      <c r="AH969" t="n">
        <v>3</v>
      </c>
      <c r="AI969" t="n">
        <v>5</v>
      </c>
      <c r="AJ969" t="n">
        <v>5</v>
      </c>
      <c r="AK969" t="n">
        <v>5</v>
      </c>
      <c r="AL969" t="n">
        <v>3</v>
      </c>
      <c r="AM969" t="n">
        <v>6</v>
      </c>
      <c r="AN969" t="n">
        <v>2</v>
      </c>
      <c r="AO969" t="n">
        <v>2</v>
      </c>
      <c r="AP969" t="n">
        <v>0</v>
      </c>
      <c r="AQ969" t="n">
        <v>0</v>
      </c>
      <c r="AR969" t="inlineStr">
        <is>
          <t>No</t>
        </is>
      </c>
      <c r="AS969" t="inlineStr">
        <is>
          <t>Yes</t>
        </is>
      </c>
      <c r="AT969">
        <f>HYPERLINK("http://catalog.hathitrust.org/Record/004145874","HathiTrust Record")</f>
        <v/>
      </c>
      <c r="AU969">
        <f>HYPERLINK("https://creighton-primo.hosted.exlibrisgroup.com/primo-explore/search?tab=default_tab&amp;search_scope=EVERYTHING&amp;vid=01CRU&amp;lang=en_US&amp;offset=0&amp;query=any,contains,991003509009702656","Catalog Record")</f>
        <v/>
      </c>
      <c r="AV969">
        <f>HYPERLINK("http://www.worldcat.org/oclc/43757627","WorldCat Record")</f>
        <v/>
      </c>
      <c r="AW969" t="inlineStr">
        <is>
          <t>11089619:eng</t>
        </is>
      </c>
      <c r="AX969" t="inlineStr">
        <is>
          <t>43757627</t>
        </is>
      </c>
      <c r="AY969" t="inlineStr">
        <is>
          <t>991003509009702656</t>
        </is>
      </c>
      <c r="AZ969" t="inlineStr">
        <is>
          <t>991003509009702656</t>
        </is>
      </c>
      <c r="BA969" t="inlineStr">
        <is>
          <t>2270333760002656</t>
        </is>
      </c>
      <c r="BB969" t="inlineStr">
        <is>
          <t>BOOK</t>
        </is>
      </c>
      <c r="BD969" t="inlineStr">
        <is>
          <t>9780374140168</t>
        </is>
      </c>
      <c r="BE969" t="inlineStr">
        <is>
          <t>32285004314174</t>
        </is>
      </c>
      <c r="BF969" t="inlineStr">
        <is>
          <t>893904392</t>
        </is>
      </c>
    </row>
    <row r="970">
      <c r="A970" t="inlineStr">
        <is>
          <t>No</t>
        </is>
      </c>
      <c r="B970" t="inlineStr">
        <is>
          <t>CURAL</t>
        </is>
      </c>
      <c r="C970" t="inlineStr">
        <is>
          <t>SHELVES</t>
        </is>
      </c>
      <c r="D970" t="inlineStr">
        <is>
          <t>PQ7390.P32 N6 2001</t>
        </is>
      </c>
      <c r="E970" t="inlineStr">
        <is>
          <t>0                      PQ 7390000P  32                 N  6           2001</t>
        </is>
      </c>
      <c r="F970" t="inlineStr">
        <is>
          <t>La novela de mi vida / Leonardo Padura.</t>
        </is>
      </c>
      <c r="H970" t="inlineStr">
        <is>
          <t>No</t>
        </is>
      </c>
      <c r="I970" t="inlineStr">
        <is>
          <t>1</t>
        </is>
      </c>
      <c r="J970" t="inlineStr">
        <is>
          <t>No</t>
        </is>
      </c>
      <c r="K970" t="inlineStr">
        <is>
          <t>No</t>
        </is>
      </c>
      <c r="L970" t="inlineStr">
        <is>
          <t>0</t>
        </is>
      </c>
      <c r="M970" t="inlineStr">
        <is>
          <t>Padura, Leonardo.</t>
        </is>
      </c>
      <c r="N970" t="inlineStr">
        <is>
          <t>Santo Domingo : Talleres, 2001.</t>
        </is>
      </c>
      <c r="O970" t="inlineStr">
        <is>
          <t>2001</t>
        </is>
      </c>
      <c r="P970" t="inlineStr">
        <is>
          <t>1a. ed.</t>
        </is>
      </c>
      <c r="Q970" t="inlineStr">
        <is>
          <t>spa</t>
        </is>
      </c>
      <c r="R970" t="inlineStr">
        <is>
          <t xml:space="preserve">dr </t>
        </is>
      </c>
      <c r="T970" t="inlineStr">
        <is>
          <t xml:space="preserve">PQ </t>
        </is>
      </c>
      <c r="U970" t="n">
        <v>1</v>
      </c>
      <c r="V970" t="n">
        <v>1</v>
      </c>
      <c r="W970" t="inlineStr">
        <is>
          <t>2002-05-17</t>
        </is>
      </c>
      <c r="X970" t="inlineStr">
        <is>
          <t>2002-05-17</t>
        </is>
      </c>
      <c r="Y970" t="inlineStr">
        <is>
          <t>2002-05-14</t>
        </is>
      </c>
      <c r="Z970" t="inlineStr">
        <is>
          <t>2002-05-14</t>
        </is>
      </c>
      <c r="AA970" t="n">
        <v>164</v>
      </c>
      <c r="AB970" t="n">
        <v>138</v>
      </c>
      <c r="AC970" t="n">
        <v>181</v>
      </c>
      <c r="AD970" t="n">
        <v>1</v>
      </c>
      <c r="AE970" t="n">
        <v>1</v>
      </c>
      <c r="AF970" t="n">
        <v>3</v>
      </c>
      <c r="AG970" t="n">
        <v>6</v>
      </c>
      <c r="AH970" t="n">
        <v>1</v>
      </c>
      <c r="AI970" t="n">
        <v>2</v>
      </c>
      <c r="AJ970" t="n">
        <v>2</v>
      </c>
      <c r="AK970" t="n">
        <v>2</v>
      </c>
      <c r="AL970" t="n">
        <v>1</v>
      </c>
      <c r="AM970" t="n">
        <v>3</v>
      </c>
      <c r="AN970" t="n">
        <v>0</v>
      </c>
      <c r="AO970" t="n">
        <v>0</v>
      </c>
      <c r="AP970" t="n">
        <v>0</v>
      </c>
      <c r="AQ970" t="n">
        <v>0</v>
      </c>
      <c r="AR970" t="inlineStr">
        <is>
          <t>No</t>
        </is>
      </c>
      <c r="AS970" t="inlineStr">
        <is>
          <t>Yes</t>
        </is>
      </c>
      <c r="AT970">
        <f>HYPERLINK("http://catalog.hathitrust.org/Record/003787443","HathiTrust Record")</f>
        <v/>
      </c>
      <c r="AU970">
        <f>HYPERLINK("https://creighton-primo.hosted.exlibrisgroup.com/primo-explore/search?tab=default_tab&amp;search_scope=EVERYTHING&amp;vid=01CRU&amp;lang=en_US&amp;offset=0&amp;query=any,contains,991003808309702656","Catalog Record")</f>
        <v/>
      </c>
      <c r="AV970">
        <f>HYPERLINK("http://www.worldcat.org/oclc/49524706","WorldCat Record")</f>
        <v/>
      </c>
      <c r="AW970" t="inlineStr">
        <is>
          <t>351512374:spa</t>
        </is>
      </c>
      <c r="AX970" t="inlineStr">
        <is>
          <t>49524706</t>
        </is>
      </c>
      <c r="AY970" t="inlineStr">
        <is>
          <t>991003808309702656</t>
        </is>
      </c>
      <c r="AZ970" t="inlineStr">
        <is>
          <t>991003808309702656</t>
        </is>
      </c>
      <c r="BA970" t="inlineStr">
        <is>
          <t>2269722030002656</t>
        </is>
      </c>
      <c r="BB970" t="inlineStr">
        <is>
          <t>BOOK</t>
        </is>
      </c>
      <c r="BE970" t="inlineStr">
        <is>
          <t>32285004488127</t>
        </is>
      </c>
      <c r="BF970" t="inlineStr">
        <is>
          <t>893699438</t>
        </is>
      </c>
    </row>
    <row r="971">
      <c r="A971" t="inlineStr">
        <is>
          <t>No</t>
        </is>
      </c>
      <c r="B971" t="inlineStr">
        <is>
          <t>CURAL</t>
        </is>
      </c>
      <c r="C971" t="inlineStr">
        <is>
          <t>SHELVES</t>
        </is>
      </c>
      <c r="D971" t="inlineStr">
        <is>
          <t>PQ7390.S26 C7 1972</t>
        </is>
      </c>
      <c r="E971" t="inlineStr">
        <is>
          <t>0                      PQ 7390000S  26                 C  7           1972</t>
        </is>
      </c>
      <c r="F971" t="inlineStr">
        <is>
          <t>Los cruzados de la aurora / Jose Sanchez Boudy.</t>
        </is>
      </c>
      <c r="H971" t="inlineStr">
        <is>
          <t>No</t>
        </is>
      </c>
      <c r="I971" t="inlineStr">
        <is>
          <t>1</t>
        </is>
      </c>
      <c r="J971" t="inlineStr">
        <is>
          <t>No</t>
        </is>
      </c>
      <c r="K971" t="inlineStr">
        <is>
          <t>No</t>
        </is>
      </c>
      <c r="L971" t="inlineStr">
        <is>
          <t>0</t>
        </is>
      </c>
      <c r="M971" t="inlineStr">
        <is>
          <t>Sánchez-Boudy, José.</t>
        </is>
      </c>
      <c r="N971" t="inlineStr">
        <is>
          <t>Miami : Ediciones Universal, [1972]</t>
        </is>
      </c>
      <c r="O971" t="inlineStr">
        <is>
          <t>1972</t>
        </is>
      </c>
      <c r="Q971" t="inlineStr">
        <is>
          <t>spa</t>
        </is>
      </c>
      <c r="R971" t="inlineStr">
        <is>
          <t>flu</t>
        </is>
      </c>
      <c r="S971" t="inlineStr">
        <is>
          <t>Colección Caniquí</t>
        </is>
      </c>
      <c r="T971" t="inlineStr">
        <is>
          <t xml:space="preserve">PQ </t>
        </is>
      </c>
      <c r="U971" t="n">
        <v>1</v>
      </c>
      <c r="V971" t="n">
        <v>1</v>
      </c>
      <c r="W971" t="inlineStr">
        <is>
          <t>2005-03-02</t>
        </is>
      </c>
      <c r="X971" t="inlineStr">
        <is>
          <t>2005-03-02</t>
        </is>
      </c>
      <c r="Y971" t="inlineStr">
        <is>
          <t>2005-03-02</t>
        </is>
      </c>
      <c r="Z971" t="inlineStr">
        <is>
          <t>2005-03-02</t>
        </is>
      </c>
      <c r="AA971" t="n">
        <v>107</v>
      </c>
      <c r="AB971" t="n">
        <v>95</v>
      </c>
      <c r="AC971" t="n">
        <v>97</v>
      </c>
      <c r="AD971" t="n">
        <v>1</v>
      </c>
      <c r="AE971" t="n">
        <v>1</v>
      </c>
      <c r="AF971" t="n">
        <v>4</v>
      </c>
      <c r="AG971" t="n">
        <v>4</v>
      </c>
      <c r="AH971" t="n">
        <v>3</v>
      </c>
      <c r="AI971" t="n">
        <v>3</v>
      </c>
      <c r="AJ971" t="n">
        <v>1</v>
      </c>
      <c r="AK971" t="n">
        <v>1</v>
      </c>
      <c r="AL971" t="n">
        <v>2</v>
      </c>
      <c r="AM971" t="n">
        <v>2</v>
      </c>
      <c r="AN971" t="n">
        <v>0</v>
      </c>
      <c r="AO971" t="n">
        <v>0</v>
      </c>
      <c r="AP971" t="n">
        <v>0</v>
      </c>
      <c r="AQ971" t="n">
        <v>0</v>
      </c>
      <c r="AR971" t="inlineStr">
        <is>
          <t>No</t>
        </is>
      </c>
      <c r="AS971" t="inlineStr">
        <is>
          <t>Yes</t>
        </is>
      </c>
      <c r="AT971">
        <f>HYPERLINK("http://catalog.hathitrust.org/Record/009103778","HathiTrust Record")</f>
        <v/>
      </c>
      <c r="AU971">
        <f>HYPERLINK("https://creighton-primo.hosted.exlibrisgroup.com/primo-explore/search?tab=default_tab&amp;search_scope=EVERYTHING&amp;vid=01CRU&amp;lang=en_US&amp;offset=0&amp;query=any,contains,991004490499702656","Catalog Record")</f>
        <v/>
      </c>
      <c r="AV971">
        <f>HYPERLINK("http://www.worldcat.org/oclc/897058","WorldCat Record")</f>
        <v/>
      </c>
      <c r="AW971" t="inlineStr">
        <is>
          <t>366130499:spa</t>
        </is>
      </c>
      <c r="AX971" t="inlineStr">
        <is>
          <t>897058</t>
        </is>
      </c>
      <c r="AY971" t="inlineStr">
        <is>
          <t>991004490499702656</t>
        </is>
      </c>
      <c r="AZ971" t="inlineStr">
        <is>
          <t>991004490499702656</t>
        </is>
      </c>
      <c r="BA971" t="inlineStr">
        <is>
          <t>2257557910002656</t>
        </is>
      </c>
      <c r="BB971" t="inlineStr">
        <is>
          <t>BOOK</t>
        </is>
      </c>
      <c r="BE971" t="inlineStr">
        <is>
          <t>32285005028930</t>
        </is>
      </c>
      <c r="BF971" t="inlineStr">
        <is>
          <t>893599892</t>
        </is>
      </c>
    </row>
    <row r="972">
      <c r="A972" t="inlineStr">
        <is>
          <t>No</t>
        </is>
      </c>
      <c r="B972" t="inlineStr">
        <is>
          <t>CURAL</t>
        </is>
      </c>
      <c r="C972" t="inlineStr">
        <is>
          <t>SHELVES</t>
        </is>
      </c>
      <c r="D972" t="inlineStr">
        <is>
          <t>PQ7390.S266 Y8 2003</t>
        </is>
      </c>
      <c r="E972" t="inlineStr">
        <is>
          <t>0                      PQ 7390000S  266                Y  8           2003</t>
        </is>
      </c>
      <c r="F972" t="inlineStr">
        <is>
          <t>Yo soy Minerva! : confesiones más allá de la vida y la muerte / monólogo, Mu-Kien Adriana Sang.</t>
        </is>
      </c>
      <c r="H972" t="inlineStr">
        <is>
          <t>No</t>
        </is>
      </c>
      <c r="I972" t="inlineStr">
        <is>
          <t>1</t>
        </is>
      </c>
      <c r="J972" t="inlineStr">
        <is>
          <t>No</t>
        </is>
      </c>
      <c r="K972" t="inlineStr">
        <is>
          <t>No</t>
        </is>
      </c>
      <c r="L972" t="inlineStr">
        <is>
          <t>0</t>
        </is>
      </c>
      <c r="M972" t="inlineStr">
        <is>
          <t>Sang, Mu-Kien A. (Mu-Kien Adriana)</t>
        </is>
      </c>
      <c r="N972" t="inlineStr">
        <is>
          <t>Santo Domingo, Republica Dominicana : [s.n., 2003]</t>
        </is>
      </c>
      <c r="O972" t="inlineStr">
        <is>
          <t>2003</t>
        </is>
      </c>
      <c r="Q972" t="inlineStr">
        <is>
          <t>spa</t>
        </is>
      </c>
      <c r="R972" t="inlineStr">
        <is>
          <t xml:space="preserve">dr </t>
        </is>
      </c>
      <c r="T972" t="inlineStr">
        <is>
          <t xml:space="preserve">PQ </t>
        </is>
      </c>
      <c r="U972" t="n">
        <v>1</v>
      </c>
      <c r="V972" t="n">
        <v>1</v>
      </c>
      <c r="W972" t="inlineStr">
        <is>
          <t>2005-01-25</t>
        </is>
      </c>
      <c r="X972" t="inlineStr">
        <is>
          <t>2005-01-25</t>
        </is>
      </c>
      <c r="Y972" t="inlineStr">
        <is>
          <t>2005-01-25</t>
        </is>
      </c>
      <c r="Z972" t="inlineStr">
        <is>
          <t>2005-01-25</t>
        </is>
      </c>
      <c r="AA972" t="n">
        <v>27</v>
      </c>
      <c r="AB972" t="n">
        <v>27</v>
      </c>
      <c r="AC972" t="n">
        <v>29</v>
      </c>
      <c r="AD972" t="n">
        <v>1</v>
      </c>
      <c r="AE972" t="n">
        <v>1</v>
      </c>
      <c r="AF972" t="n">
        <v>1</v>
      </c>
      <c r="AG972" t="n">
        <v>1</v>
      </c>
      <c r="AH972" t="n">
        <v>0</v>
      </c>
      <c r="AI972" t="n">
        <v>0</v>
      </c>
      <c r="AJ972" t="n">
        <v>1</v>
      </c>
      <c r="AK972" t="n">
        <v>1</v>
      </c>
      <c r="AL972" t="n">
        <v>0</v>
      </c>
      <c r="AM972" t="n">
        <v>0</v>
      </c>
      <c r="AN972" t="n">
        <v>0</v>
      </c>
      <c r="AO972" t="n">
        <v>0</v>
      </c>
      <c r="AP972" t="n">
        <v>0</v>
      </c>
      <c r="AQ972" t="n">
        <v>0</v>
      </c>
      <c r="AR972" t="inlineStr">
        <is>
          <t>No</t>
        </is>
      </c>
      <c r="AS972" t="inlineStr">
        <is>
          <t>Yes</t>
        </is>
      </c>
      <c r="AT972">
        <f>HYPERLINK("http://catalog.hathitrust.org/Record/008451788","HathiTrust Record")</f>
        <v/>
      </c>
      <c r="AU972">
        <f>HYPERLINK("https://creighton-primo.hosted.exlibrisgroup.com/primo-explore/search?tab=default_tab&amp;search_scope=EVERYTHING&amp;vid=01CRU&amp;lang=en_US&amp;offset=0&amp;query=any,contains,991004460549702656","Catalog Record")</f>
        <v/>
      </c>
      <c r="AV972">
        <f>HYPERLINK("http://www.worldcat.org/oclc/57227834","WorldCat Record")</f>
        <v/>
      </c>
      <c r="AW972" t="inlineStr">
        <is>
          <t>906242003:spa</t>
        </is>
      </c>
      <c r="AX972" t="inlineStr">
        <is>
          <t>57227834</t>
        </is>
      </c>
      <c r="AY972" t="inlineStr">
        <is>
          <t>991004460549702656</t>
        </is>
      </c>
      <c r="AZ972" t="inlineStr">
        <is>
          <t>991004460549702656</t>
        </is>
      </c>
      <c r="BA972" t="inlineStr">
        <is>
          <t>2267784600002656</t>
        </is>
      </c>
      <c r="BB972" t="inlineStr">
        <is>
          <t>BOOK</t>
        </is>
      </c>
      <c r="BD972" t="inlineStr">
        <is>
          <t>9789993423560</t>
        </is>
      </c>
      <c r="BE972" t="inlineStr">
        <is>
          <t>32285005022784</t>
        </is>
      </c>
      <c r="BF972" t="inlineStr">
        <is>
          <t>893337753</t>
        </is>
      </c>
    </row>
    <row r="973">
      <c r="A973" t="inlineStr">
        <is>
          <t>No</t>
        </is>
      </c>
      <c r="B973" t="inlineStr">
        <is>
          <t>CURAL</t>
        </is>
      </c>
      <c r="C973" t="inlineStr">
        <is>
          <t>SHELVES</t>
        </is>
      </c>
      <c r="D973" t="inlineStr">
        <is>
          <t>PQ7390.S28 A114 1999</t>
        </is>
      </c>
      <c r="E973" t="inlineStr">
        <is>
          <t>0                      PQ 7390000S  28                 A  114         1999</t>
        </is>
      </c>
      <c r="F973" t="inlineStr">
        <is>
          <t>Obra completa / Severo Sarduy ; edición crítica, Gustavo Guerrero, François Wahl, coordinadores.</t>
        </is>
      </c>
      <c r="G973" t="inlineStr">
        <is>
          <t>V.2</t>
        </is>
      </c>
      <c r="H973" t="inlineStr">
        <is>
          <t>Yes</t>
        </is>
      </c>
      <c r="I973" t="inlineStr">
        <is>
          <t>1</t>
        </is>
      </c>
      <c r="J973" t="inlineStr">
        <is>
          <t>No</t>
        </is>
      </c>
      <c r="K973" t="inlineStr">
        <is>
          <t>No</t>
        </is>
      </c>
      <c r="L973" t="inlineStr">
        <is>
          <t>0</t>
        </is>
      </c>
      <c r="M973" t="inlineStr">
        <is>
          <t>Sarduy, Severo.</t>
        </is>
      </c>
      <c r="N973" t="inlineStr">
        <is>
          <t>Madrid : Galaxia Gutenberg, Círculo de Lectores ; Nanterre, France : ALLCA XX, Université de Paris X, 1999.</t>
        </is>
      </c>
      <c r="O973" t="inlineStr">
        <is>
          <t>1999</t>
        </is>
      </c>
      <c r="P973" t="inlineStr">
        <is>
          <t>1. ed.</t>
        </is>
      </c>
      <c r="Q973" t="inlineStr">
        <is>
          <t>spa</t>
        </is>
      </c>
      <c r="R973" t="inlineStr">
        <is>
          <t xml:space="preserve">sp </t>
        </is>
      </c>
      <c r="S973" t="inlineStr">
        <is>
          <t>Colección Archivos ; 40</t>
        </is>
      </c>
      <c r="T973" t="inlineStr">
        <is>
          <t xml:space="preserve">PQ </t>
        </is>
      </c>
      <c r="U973" t="n">
        <v>1</v>
      </c>
      <c r="V973" t="n">
        <v>2</v>
      </c>
      <c r="W973" t="inlineStr">
        <is>
          <t>2001-01-17</t>
        </is>
      </c>
      <c r="X973" t="inlineStr">
        <is>
          <t>2001-01-17</t>
        </is>
      </c>
      <c r="Y973" t="inlineStr">
        <is>
          <t>2001-01-17</t>
        </is>
      </c>
      <c r="Z973" t="inlineStr">
        <is>
          <t>2001-01-17</t>
        </is>
      </c>
      <c r="AA973" t="n">
        <v>112</v>
      </c>
      <c r="AB973" t="n">
        <v>84</v>
      </c>
      <c r="AC973" t="n">
        <v>101</v>
      </c>
      <c r="AD973" t="n">
        <v>1</v>
      </c>
      <c r="AE973" t="n">
        <v>1</v>
      </c>
      <c r="AF973" t="n">
        <v>3</v>
      </c>
      <c r="AG973" t="n">
        <v>3</v>
      </c>
      <c r="AH973" t="n">
        <v>1</v>
      </c>
      <c r="AI973" t="n">
        <v>1</v>
      </c>
      <c r="AJ973" t="n">
        <v>2</v>
      </c>
      <c r="AK973" t="n">
        <v>2</v>
      </c>
      <c r="AL973" t="n">
        <v>1</v>
      </c>
      <c r="AM973" t="n">
        <v>1</v>
      </c>
      <c r="AN973" t="n">
        <v>0</v>
      </c>
      <c r="AO973" t="n">
        <v>0</v>
      </c>
      <c r="AP973" t="n">
        <v>0</v>
      </c>
      <c r="AQ973" t="n">
        <v>0</v>
      </c>
      <c r="AR973" t="inlineStr">
        <is>
          <t>No</t>
        </is>
      </c>
      <c r="AS973" t="inlineStr">
        <is>
          <t>Yes</t>
        </is>
      </c>
      <c r="AT973">
        <f>HYPERLINK("http://catalog.hathitrust.org/Record/102499192","HathiTrust Record")</f>
        <v/>
      </c>
      <c r="AU973">
        <f>HYPERLINK("https://creighton-primo.hosted.exlibrisgroup.com/primo-explore/search?tab=default_tab&amp;search_scope=EVERYTHING&amp;vid=01CRU&amp;lang=en_US&amp;offset=0&amp;query=any,contains,991003254909702656","Catalog Record")</f>
        <v/>
      </c>
      <c r="AV973">
        <f>HYPERLINK("http://www.worldcat.org/oclc/43059311","WorldCat Record")</f>
        <v/>
      </c>
      <c r="AW973" t="inlineStr">
        <is>
          <t>10253096560:spa</t>
        </is>
      </c>
      <c r="AX973" t="inlineStr">
        <is>
          <t>43059311</t>
        </is>
      </c>
      <c r="AY973" t="inlineStr">
        <is>
          <t>991003254909702656</t>
        </is>
      </c>
      <c r="AZ973" t="inlineStr">
        <is>
          <t>991003254909702656</t>
        </is>
      </c>
      <c r="BA973" t="inlineStr">
        <is>
          <t>2263190730002656</t>
        </is>
      </c>
      <c r="BB973" t="inlineStr">
        <is>
          <t>BOOK</t>
        </is>
      </c>
      <c r="BD973" t="inlineStr">
        <is>
          <t>9788489666412</t>
        </is>
      </c>
      <c r="BE973" t="inlineStr">
        <is>
          <t>32285004285002</t>
        </is>
      </c>
      <c r="BF973" t="inlineStr">
        <is>
          <t>893317804</t>
        </is>
      </c>
    </row>
    <row r="974">
      <c r="A974" t="inlineStr">
        <is>
          <t>No</t>
        </is>
      </c>
      <c r="B974" t="inlineStr">
        <is>
          <t>CURAL</t>
        </is>
      </c>
      <c r="C974" t="inlineStr">
        <is>
          <t>SHELVES</t>
        </is>
      </c>
      <c r="D974" t="inlineStr">
        <is>
          <t>PQ7390.S28 A114 1999</t>
        </is>
      </c>
      <c r="E974" t="inlineStr">
        <is>
          <t>0                      PQ 7390000S  28                 A  114         1999</t>
        </is>
      </c>
      <c r="F974" t="inlineStr">
        <is>
          <t>Obra completa / Severo Sarduy ; edición crítica, Gustavo Guerrero, François Wahl, coordinadores.</t>
        </is>
      </c>
      <c r="G974" t="inlineStr">
        <is>
          <t>V.1</t>
        </is>
      </c>
      <c r="H974" t="inlineStr">
        <is>
          <t>Yes</t>
        </is>
      </c>
      <c r="I974" t="inlineStr">
        <is>
          <t>1</t>
        </is>
      </c>
      <c r="J974" t="inlineStr">
        <is>
          <t>No</t>
        </is>
      </c>
      <c r="K974" t="inlineStr">
        <is>
          <t>No</t>
        </is>
      </c>
      <c r="L974" t="inlineStr">
        <is>
          <t>0</t>
        </is>
      </c>
      <c r="M974" t="inlineStr">
        <is>
          <t>Sarduy, Severo.</t>
        </is>
      </c>
      <c r="N974" t="inlineStr">
        <is>
          <t>Madrid : Galaxia Gutenberg, Círculo de Lectores ; Nanterre, France : ALLCA XX, Université de Paris X, 1999.</t>
        </is>
      </c>
      <c r="O974" t="inlineStr">
        <is>
          <t>1999</t>
        </is>
      </c>
      <c r="P974" t="inlineStr">
        <is>
          <t>1. ed.</t>
        </is>
      </c>
      <c r="Q974" t="inlineStr">
        <is>
          <t>spa</t>
        </is>
      </c>
      <c r="R974" t="inlineStr">
        <is>
          <t xml:space="preserve">sp </t>
        </is>
      </c>
      <c r="S974" t="inlineStr">
        <is>
          <t>Colección Archivos ; 40</t>
        </is>
      </c>
      <c r="T974" t="inlineStr">
        <is>
          <t xml:space="preserve">PQ </t>
        </is>
      </c>
      <c r="U974" t="n">
        <v>1</v>
      </c>
      <c r="V974" t="n">
        <v>2</v>
      </c>
      <c r="W974" t="inlineStr">
        <is>
          <t>2001-01-17</t>
        </is>
      </c>
      <c r="X974" t="inlineStr">
        <is>
          <t>2001-01-17</t>
        </is>
      </c>
      <c r="Y974" t="inlineStr">
        <is>
          <t>2001-01-17</t>
        </is>
      </c>
      <c r="Z974" t="inlineStr">
        <is>
          <t>2001-01-17</t>
        </is>
      </c>
      <c r="AA974" t="n">
        <v>112</v>
      </c>
      <c r="AB974" t="n">
        <v>84</v>
      </c>
      <c r="AC974" t="n">
        <v>101</v>
      </c>
      <c r="AD974" t="n">
        <v>1</v>
      </c>
      <c r="AE974" t="n">
        <v>1</v>
      </c>
      <c r="AF974" t="n">
        <v>3</v>
      </c>
      <c r="AG974" t="n">
        <v>3</v>
      </c>
      <c r="AH974" t="n">
        <v>1</v>
      </c>
      <c r="AI974" t="n">
        <v>1</v>
      </c>
      <c r="AJ974" t="n">
        <v>2</v>
      </c>
      <c r="AK974" t="n">
        <v>2</v>
      </c>
      <c r="AL974" t="n">
        <v>1</v>
      </c>
      <c r="AM974" t="n">
        <v>1</v>
      </c>
      <c r="AN974" t="n">
        <v>0</v>
      </c>
      <c r="AO974" t="n">
        <v>0</v>
      </c>
      <c r="AP974" t="n">
        <v>0</v>
      </c>
      <c r="AQ974" t="n">
        <v>0</v>
      </c>
      <c r="AR974" t="inlineStr">
        <is>
          <t>No</t>
        </is>
      </c>
      <c r="AS974" t="inlineStr">
        <is>
          <t>Yes</t>
        </is>
      </c>
      <c r="AT974">
        <f>HYPERLINK("http://catalog.hathitrust.org/Record/102499192","HathiTrust Record")</f>
        <v/>
      </c>
      <c r="AU974">
        <f>HYPERLINK("https://creighton-primo.hosted.exlibrisgroup.com/primo-explore/search?tab=default_tab&amp;search_scope=EVERYTHING&amp;vid=01CRU&amp;lang=en_US&amp;offset=0&amp;query=any,contains,991003254909702656","Catalog Record")</f>
        <v/>
      </c>
      <c r="AV974">
        <f>HYPERLINK("http://www.worldcat.org/oclc/43059311","WorldCat Record")</f>
        <v/>
      </c>
      <c r="AW974" t="inlineStr">
        <is>
          <t>10253096560:spa</t>
        </is>
      </c>
      <c r="AX974" t="inlineStr">
        <is>
          <t>43059311</t>
        </is>
      </c>
      <c r="AY974" t="inlineStr">
        <is>
          <t>991003254909702656</t>
        </is>
      </c>
      <c r="AZ974" t="inlineStr">
        <is>
          <t>991003254909702656</t>
        </is>
      </c>
      <c r="BA974" t="inlineStr">
        <is>
          <t>2263190730002656</t>
        </is>
      </c>
      <c r="BB974" t="inlineStr">
        <is>
          <t>BOOK</t>
        </is>
      </c>
      <c r="BD974" t="inlineStr">
        <is>
          <t>9788489666412</t>
        </is>
      </c>
      <c r="BE974" t="inlineStr">
        <is>
          <t>32285004284997</t>
        </is>
      </c>
      <c r="BF974" t="inlineStr">
        <is>
          <t>893348488</t>
        </is>
      </c>
    </row>
    <row r="975">
      <c r="A975" t="inlineStr">
        <is>
          <t>No</t>
        </is>
      </c>
      <c r="B975" t="inlineStr">
        <is>
          <t>CURAL</t>
        </is>
      </c>
      <c r="C975" t="inlineStr">
        <is>
          <t>SHELVES</t>
        </is>
      </c>
      <c r="D975" t="inlineStr">
        <is>
          <t>PQ7390.S78 E78 1988</t>
        </is>
      </c>
      <c r="E975" t="inlineStr">
        <is>
          <t>0                      PQ 7390000S  78                 E  78          1988</t>
        </is>
      </c>
      <c r="F975" t="inlineStr">
        <is>
          <t>Estas son mis sagradas escrituras / Luis Suardíaz.</t>
        </is>
      </c>
      <c r="H975" t="inlineStr">
        <is>
          <t>No</t>
        </is>
      </c>
      <c r="I975" t="inlineStr">
        <is>
          <t>1</t>
        </is>
      </c>
      <c r="J975" t="inlineStr">
        <is>
          <t>No</t>
        </is>
      </c>
      <c r="K975" t="inlineStr">
        <is>
          <t>No</t>
        </is>
      </c>
      <c r="L975" t="inlineStr">
        <is>
          <t>0</t>
        </is>
      </c>
      <c r="M975" t="inlineStr">
        <is>
          <t>Suardíaz, Luis, 1936-2005.</t>
        </is>
      </c>
      <c r="N975" t="inlineStr">
        <is>
          <t>Mérida, Venezuela : Ediciones del Rectorado, Universidad de Los Andes, 1988.</t>
        </is>
      </c>
      <c r="O975" t="inlineStr">
        <is>
          <t>1988</t>
        </is>
      </c>
      <c r="Q975" t="inlineStr">
        <is>
          <t>spa</t>
        </is>
      </c>
      <c r="R975" t="inlineStr">
        <is>
          <t xml:space="preserve">ve </t>
        </is>
      </c>
      <c r="T975" t="inlineStr">
        <is>
          <t xml:space="preserve">PQ </t>
        </is>
      </c>
      <c r="U975" t="n">
        <v>1</v>
      </c>
      <c r="V975" t="n">
        <v>1</v>
      </c>
      <c r="W975" t="inlineStr">
        <is>
          <t>2003-02-10</t>
        </is>
      </c>
      <c r="X975" t="inlineStr">
        <is>
          <t>2003-02-10</t>
        </is>
      </c>
      <c r="Y975" t="inlineStr">
        <is>
          <t>2003-02-03</t>
        </is>
      </c>
      <c r="Z975" t="inlineStr">
        <is>
          <t>2003-02-03</t>
        </is>
      </c>
      <c r="AA975" t="n">
        <v>6</v>
      </c>
      <c r="AB975" t="n">
        <v>6</v>
      </c>
      <c r="AC975" t="n">
        <v>6</v>
      </c>
      <c r="AD975" t="n">
        <v>1</v>
      </c>
      <c r="AE975" t="n">
        <v>1</v>
      </c>
      <c r="AF975" t="n">
        <v>0</v>
      </c>
      <c r="AG975" t="n">
        <v>0</v>
      </c>
      <c r="AH975" t="n">
        <v>0</v>
      </c>
      <c r="AI975" t="n">
        <v>0</v>
      </c>
      <c r="AJ975" t="n">
        <v>0</v>
      </c>
      <c r="AK975" t="n">
        <v>0</v>
      </c>
      <c r="AL975" t="n">
        <v>0</v>
      </c>
      <c r="AM975" t="n">
        <v>0</v>
      </c>
      <c r="AN975" t="n">
        <v>0</v>
      </c>
      <c r="AO975" t="n">
        <v>0</v>
      </c>
      <c r="AP975" t="n">
        <v>0</v>
      </c>
      <c r="AQ975" t="n">
        <v>0</v>
      </c>
      <c r="AR975" t="inlineStr">
        <is>
          <t>No</t>
        </is>
      </c>
      <c r="AS975" t="inlineStr">
        <is>
          <t>No</t>
        </is>
      </c>
      <c r="AU975">
        <f>HYPERLINK("https://creighton-primo.hosted.exlibrisgroup.com/primo-explore/search?tab=default_tab&amp;search_scope=EVERYTHING&amp;vid=01CRU&amp;lang=en_US&amp;offset=0&amp;query=any,contains,991003986019702656","Catalog Record")</f>
        <v/>
      </c>
      <c r="AV975">
        <f>HYPERLINK("http://www.worldcat.org/oclc/51532145","WorldCat Record")</f>
        <v/>
      </c>
      <c r="AW975" t="inlineStr">
        <is>
          <t>9396610:spa</t>
        </is>
      </c>
      <c r="AX975" t="inlineStr">
        <is>
          <t>51532145</t>
        </is>
      </c>
      <c r="AY975" t="inlineStr">
        <is>
          <t>991003986019702656</t>
        </is>
      </c>
      <c r="AZ975" t="inlineStr">
        <is>
          <t>991003986019702656</t>
        </is>
      </c>
      <c r="BA975" t="inlineStr">
        <is>
          <t>2267211890002656</t>
        </is>
      </c>
      <c r="BB975" t="inlineStr">
        <is>
          <t>BOOK</t>
        </is>
      </c>
      <c r="BE975" t="inlineStr">
        <is>
          <t>32285004631676</t>
        </is>
      </c>
      <c r="BF975" t="inlineStr">
        <is>
          <t>893247012</t>
        </is>
      </c>
    </row>
    <row r="976">
      <c r="A976" t="inlineStr">
        <is>
          <t>No</t>
        </is>
      </c>
      <c r="B976" t="inlineStr">
        <is>
          <t>CURAL</t>
        </is>
      </c>
      <c r="C976" t="inlineStr">
        <is>
          <t>SHELVES</t>
        </is>
      </c>
      <c r="D976" t="inlineStr">
        <is>
          <t>PQ7390.S78 L4 1978</t>
        </is>
      </c>
      <c r="E976" t="inlineStr">
        <is>
          <t>0                      PQ 7390000S  78                 L  4           1978</t>
        </is>
      </c>
      <c r="F976" t="inlineStr">
        <is>
          <t>Leyenda de la Justa Belleza / Luis Suardíaz.</t>
        </is>
      </c>
      <c r="H976" t="inlineStr">
        <is>
          <t>No</t>
        </is>
      </c>
      <c r="I976" t="inlineStr">
        <is>
          <t>1</t>
        </is>
      </c>
      <c r="J976" t="inlineStr">
        <is>
          <t>No</t>
        </is>
      </c>
      <c r="K976" t="inlineStr">
        <is>
          <t>No</t>
        </is>
      </c>
      <c r="L976" t="inlineStr">
        <is>
          <t>0</t>
        </is>
      </c>
      <c r="M976" t="inlineStr">
        <is>
          <t>Suardíaz, Luis, 1936-2005.</t>
        </is>
      </c>
      <c r="N976" t="inlineStr">
        <is>
          <t>La Habana : Letras Cubanas, 1978.</t>
        </is>
      </c>
      <c r="O976" t="inlineStr">
        <is>
          <t>1978</t>
        </is>
      </c>
      <c r="Q976" t="inlineStr">
        <is>
          <t>spa</t>
        </is>
      </c>
      <c r="R976" t="inlineStr">
        <is>
          <t xml:space="preserve">cu </t>
        </is>
      </c>
      <c r="S976" t="inlineStr">
        <is>
          <t>Mínima poesía ; 20</t>
        </is>
      </c>
      <c r="T976" t="inlineStr">
        <is>
          <t xml:space="preserve">PQ </t>
        </is>
      </c>
      <c r="U976" t="n">
        <v>1</v>
      </c>
      <c r="V976" t="n">
        <v>1</v>
      </c>
      <c r="W976" t="inlineStr">
        <is>
          <t>2001-11-15</t>
        </is>
      </c>
      <c r="X976" t="inlineStr">
        <is>
          <t>2001-11-15</t>
        </is>
      </c>
      <c r="Y976" t="inlineStr">
        <is>
          <t>2001-11-14</t>
        </is>
      </c>
      <c r="Z976" t="inlineStr">
        <is>
          <t>2001-11-14</t>
        </is>
      </c>
      <c r="AA976" t="n">
        <v>25</v>
      </c>
      <c r="AB976" t="n">
        <v>18</v>
      </c>
      <c r="AC976" t="n">
        <v>20</v>
      </c>
      <c r="AD976" t="n">
        <v>1</v>
      </c>
      <c r="AE976" t="n">
        <v>1</v>
      </c>
      <c r="AF976" t="n">
        <v>0</v>
      </c>
      <c r="AG976" t="n">
        <v>0</v>
      </c>
      <c r="AH976" t="n">
        <v>0</v>
      </c>
      <c r="AI976" t="n">
        <v>0</v>
      </c>
      <c r="AJ976" t="n">
        <v>0</v>
      </c>
      <c r="AK976" t="n">
        <v>0</v>
      </c>
      <c r="AL976" t="n">
        <v>0</v>
      </c>
      <c r="AM976" t="n">
        <v>0</v>
      </c>
      <c r="AN976" t="n">
        <v>0</v>
      </c>
      <c r="AO976" t="n">
        <v>0</v>
      </c>
      <c r="AP976" t="n">
        <v>0</v>
      </c>
      <c r="AQ976" t="n">
        <v>0</v>
      </c>
      <c r="AR976" t="inlineStr">
        <is>
          <t>No</t>
        </is>
      </c>
      <c r="AS976" t="inlineStr">
        <is>
          <t>No</t>
        </is>
      </c>
      <c r="AU976">
        <f>HYPERLINK("https://creighton-primo.hosted.exlibrisgroup.com/primo-explore/search?tab=default_tab&amp;search_scope=EVERYTHING&amp;vid=01CRU&amp;lang=en_US&amp;offset=0&amp;query=any,contains,991003679469702656","Catalog Record")</f>
        <v/>
      </c>
      <c r="AV976">
        <f>HYPERLINK("http://www.worldcat.org/oclc/7194113","WorldCat Record")</f>
        <v/>
      </c>
      <c r="AW976" t="inlineStr">
        <is>
          <t>149356305:spa</t>
        </is>
      </c>
      <c r="AX976" t="inlineStr">
        <is>
          <t>7194113</t>
        </is>
      </c>
      <c r="AY976" t="inlineStr">
        <is>
          <t>991003679469702656</t>
        </is>
      </c>
      <c r="AZ976" t="inlineStr">
        <is>
          <t>991003679469702656</t>
        </is>
      </c>
      <c r="BA976" t="inlineStr">
        <is>
          <t>2255222090002656</t>
        </is>
      </c>
      <c r="BB976" t="inlineStr">
        <is>
          <t>BOOK</t>
        </is>
      </c>
      <c r="BE976" t="inlineStr">
        <is>
          <t>32285004411624</t>
        </is>
      </c>
      <c r="BF976" t="inlineStr">
        <is>
          <t>893623757</t>
        </is>
      </c>
    </row>
    <row r="977">
      <c r="A977" t="inlineStr">
        <is>
          <t>No</t>
        </is>
      </c>
      <c r="B977" t="inlineStr">
        <is>
          <t>CURAL</t>
        </is>
      </c>
      <c r="C977" t="inlineStr">
        <is>
          <t>SHELVES</t>
        </is>
      </c>
      <c r="D977" t="inlineStr">
        <is>
          <t>PQ7400 .F56 1948</t>
        </is>
      </c>
      <c r="E977" t="inlineStr">
        <is>
          <t>0                      PQ 7400000F  56          1948</t>
        </is>
      </c>
      <c r="F977" t="inlineStr">
        <is>
          <t>Bibliografía de la bibliografía dominicana / por Luis Floren Lozano.</t>
        </is>
      </c>
      <c r="H977" t="inlineStr">
        <is>
          <t>No</t>
        </is>
      </c>
      <c r="I977" t="inlineStr">
        <is>
          <t>1</t>
        </is>
      </c>
      <c r="J977" t="inlineStr">
        <is>
          <t>No</t>
        </is>
      </c>
      <c r="K977" t="inlineStr">
        <is>
          <t>No</t>
        </is>
      </c>
      <c r="L977" t="inlineStr">
        <is>
          <t>0</t>
        </is>
      </c>
      <c r="M977" t="inlineStr">
        <is>
          <t>Florén Lozano, Luis, 1913-</t>
        </is>
      </c>
      <c r="N977" t="inlineStr">
        <is>
          <t>Ciudad Trujillo : Roques Roman, [c1948]</t>
        </is>
      </c>
      <c r="O977" t="inlineStr">
        <is>
          <t>1948</t>
        </is>
      </c>
      <c r="P977" t="inlineStr">
        <is>
          <t>[1. ed.]</t>
        </is>
      </c>
      <c r="Q977" t="inlineStr">
        <is>
          <t>spa</t>
        </is>
      </c>
      <c r="R977" t="inlineStr">
        <is>
          <t xml:space="preserve">xx </t>
        </is>
      </c>
      <c r="T977" t="inlineStr">
        <is>
          <t xml:space="preserve">PQ </t>
        </is>
      </c>
      <c r="U977" t="n">
        <v>1</v>
      </c>
      <c r="V977" t="n">
        <v>1</v>
      </c>
      <c r="W977" t="inlineStr">
        <is>
          <t>2000-09-19</t>
        </is>
      </c>
      <c r="X977" t="inlineStr">
        <is>
          <t>2000-09-19</t>
        </is>
      </c>
      <c r="Y977" t="inlineStr">
        <is>
          <t>2000-09-19</t>
        </is>
      </c>
      <c r="Z977" t="inlineStr">
        <is>
          <t>2000-09-19</t>
        </is>
      </c>
      <c r="AA977" t="n">
        <v>99</v>
      </c>
      <c r="AB977" t="n">
        <v>71</v>
      </c>
      <c r="AC977" t="n">
        <v>75</v>
      </c>
      <c r="AD977" t="n">
        <v>1</v>
      </c>
      <c r="AE977" t="n">
        <v>1</v>
      </c>
      <c r="AF977" t="n">
        <v>4</v>
      </c>
      <c r="AG977" t="n">
        <v>4</v>
      </c>
      <c r="AH977" t="n">
        <v>0</v>
      </c>
      <c r="AI977" t="n">
        <v>0</v>
      </c>
      <c r="AJ977" t="n">
        <v>2</v>
      </c>
      <c r="AK977" t="n">
        <v>2</v>
      </c>
      <c r="AL977" t="n">
        <v>3</v>
      </c>
      <c r="AM977" t="n">
        <v>3</v>
      </c>
      <c r="AN977" t="n">
        <v>0</v>
      </c>
      <c r="AO977" t="n">
        <v>0</v>
      </c>
      <c r="AP977" t="n">
        <v>0</v>
      </c>
      <c r="AQ977" t="n">
        <v>0</v>
      </c>
      <c r="AR977" t="inlineStr">
        <is>
          <t>No</t>
        </is>
      </c>
      <c r="AS977" t="inlineStr">
        <is>
          <t>Yes</t>
        </is>
      </c>
      <c r="AT977">
        <f>HYPERLINK("http://catalog.hathitrust.org/Record/001176920","HathiTrust Record")</f>
        <v/>
      </c>
      <c r="AU977">
        <f>HYPERLINK("https://creighton-primo.hosted.exlibrisgroup.com/primo-explore/search?tab=default_tab&amp;search_scope=EVERYTHING&amp;vid=01CRU&amp;lang=en_US&amp;offset=0&amp;query=any,contains,991003294019702656","Catalog Record")</f>
        <v/>
      </c>
      <c r="AV977">
        <f>HYPERLINK("http://www.worldcat.org/oclc/1722915","WorldCat Record")</f>
        <v/>
      </c>
      <c r="AW977" t="inlineStr">
        <is>
          <t>29140030:spa</t>
        </is>
      </c>
      <c r="AX977" t="inlineStr">
        <is>
          <t>1722915</t>
        </is>
      </c>
      <c r="AY977" t="inlineStr">
        <is>
          <t>991003294019702656</t>
        </is>
      </c>
      <c r="AZ977" t="inlineStr">
        <is>
          <t>991003294019702656</t>
        </is>
      </c>
      <c r="BA977" t="inlineStr">
        <is>
          <t>2271752660002656</t>
        </is>
      </c>
      <c r="BB977" t="inlineStr">
        <is>
          <t>BOOK</t>
        </is>
      </c>
      <c r="BE977" t="inlineStr">
        <is>
          <t>32285003763454</t>
        </is>
      </c>
      <c r="BF977" t="inlineStr">
        <is>
          <t>893330175</t>
        </is>
      </c>
    </row>
    <row r="978">
      <c r="A978" t="inlineStr">
        <is>
          <t>No</t>
        </is>
      </c>
      <c r="B978" t="inlineStr">
        <is>
          <t>CURAL</t>
        </is>
      </c>
      <c r="C978" t="inlineStr">
        <is>
          <t>SHELVES</t>
        </is>
      </c>
      <c r="D978" t="inlineStr">
        <is>
          <t>PQ7400 .W38 1931</t>
        </is>
      </c>
      <c r="E978" t="inlineStr">
        <is>
          <t>0                      PQ 7400000W  38          1931</t>
        </is>
      </c>
      <c r="F978" t="inlineStr">
        <is>
          <t>A bibliography of the belles-lettres of Santo Domingo / by Samuel Montefiore Waxman.</t>
        </is>
      </c>
      <c r="H978" t="inlineStr">
        <is>
          <t>No</t>
        </is>
      </c>
      <c r="I978" t="inlineStr">
        <is>
          <t>1</t>
        </is>
      </c>
      <c r="J978" t="inlineStr">
        <is>
          <t>No</t>
        </is>
      </c>
      <c r="K978" t="inlineStr">
        <is>
          <t>No</t>
        </is>
      </c>
      <c r="L978" t="inlineStr">
        <is>
          <t>0</t>
        </is>
      </c>
      <c r="M978" t="inlineStr">
        <is>
          <t>Waxman, Samuel Montefiore, 1885-</t>
        </is>
      </c>
      <c r="N978" t="inlineStr">
        <is>
          <t>Cambridge, Mass. : Harvard University Press, 1931.</t>
        </is>
      </c>
      <c r="O978" t="inlineStr">
        <is>
          <t>1931</t>
        </is>
      </c>
      <c r="Q978" t="inlineStr">
        <is>
          <t>eng</t>
        </is>
      </c>
      <c r="R978" t="inlineStr">
        <is>
          <t>mau</t>
        </is>
      </c>
      <c r="T978" t="inlineStr">
        <is>
          <t xml:space="preserve">PQ </t>
        </is>
      </c>
      <c r="U978" t="n">
        <v>1</v>
      </c>
      <c r="V978" t="n">
        <v>1</v>
      </c>
      <c r="W978" t="inlineStr">
        <is>
          <t>2000-09-19</t>
        </is>
      </c>
      <c r="X978" t="inlineStr">
        <is>
          <t>2000-09-19</t>
        </is>
      </c>
      <c r="Y978" t="inlineStr">
        <is>
          <t>2000-09-19</t>
        </is>
      </c>
      <c r="Z978" t="inlineStr">
        <is>
          <t>2000-09-19</t>
        </is>
      </c>
      <c r="AA978" t="n">
        <v>120</v>
      </c>
      <c r="AB978" t="n">
        <v>104</v>
      </c>
      <c r="AC978" t="n">
        <v>116</v>
      </c>
      <c r="AD978" t="n">
        <v>3</v>
      </c>
      <c r="AE978" t="n">
        <v>3</v>
      </c>
      <c r="AF978" t="n">
        <v>4</v>
      </c>
      <c r="AG978" t="n">
        <v>5</v>
      </c>
      <c r="AH978" t="n">
        <v>0</v>
      </c>
      <c r="AI978" t="n">
        <v>0</v>
      </c>
      <c r="AJ978" t="n">
        <v>1</v>
      </c>
      <c r="AK978" t="n">
        <v>1</v>
      </c>
      <c r="AL978" t="n">
        <v>2</v>
      </c>
      <c r="AM978" t="n">
        <v>3</v>
      </c>
      <c r="AN978" t="n">
        <v>2</v>
      </c>
      <c r="AO978" t="n">
        <v>2</v>
      </c>
      <c r="AP978" t="n">
        <v>0</v>
      </c>
      <c r="AQ978" t="n">
        <v>0</v>
      </c>
      <c r="AR978" t="inlineStr">
        <is>
          <t>Yes</t>
        </is>
      </c>
      <c r="AS978" t="inlineStr">
        <is>
          <t>No</t>
        </is>
      </c>
      <c r="AT978">
        <f>HYPERLINK("http://catalog.hathitrust.org/Record/001763027","HathiTrust Record")</f>
        <v/>
      </c>
      <c r="AU978">
        <f>HYPERLINK("https://creighton-primo.hosted.exlibrisgroup.com/primo-explore/search?tab=default_tab&amp;search_scope=EVERYTHING&amp;vid=01CRU&amp;lang=en_US&amp;offset=0&amp;query=any,contains,991003293969702656","Catalog Record")</f>
        <v/>
      </c>
      <c r="AV978">
        <f>HYPERLINK("http://www.worldcat.org/oclc/972960","WorldCat Record")</f>
        <v/>
      </c>
      <c r="AW978" t="inlineStr">
        <is>
          <t>1931610:eng</t>
        </is>
      </c>
      <c r="AX978" t="inlineStr">
        <is>
          <t>972960</t>
        </is>
      </c>
      <c r="AY978" t="inlineStr">
        <is>
          <t>991003293969702656</t>
        </is>
      </c>
      <c r="AZ978" t="inlineStr">
        <is>
          <t>991003293969702656</t>
        </is>
      </c>
      <c r="BA978" t="inlineStr">
        <is>
          <t>2258760190002656</t>
        </is>
      </c>
      <c r="BB978" t="inlineStr">
        <is>
          <t>BOOK</t>
        </is>
      </c>
      <c r="BE978" t="inlineStr">
        <is>
          <t>32285003763439</t>
        </is>
      </c>
      <c r="BF978" t="inlineStr">
        <is>
          <t>893227906</t>
        </is>
      </c>
    </row>
    <row r="979">
      <c r="A979" t="inlineStr">
        <is>
          <t>No</t>
        </is>
      </c>
      <c r="B979" t="inlineStr">
        <is>
          <t>CURAL</t>
        </is>
      </c>
      <c r="C979" t="inlineStr">
        <is>
          <t>SHELVES</t>
        </is>
      </c>
      <c r="D979" t="inlineStr">
        <is>
          <t>PQ7400.5 .L5 2001</t>
        </is>
      </c>
      <c r="E979" t="inlineStr">
        <is>
          <t>0                      PQ 7400500L  5           2001</t>
        </is>
      </c>
      <c r="F979" t="inlineStr">
        <is>
          <t>Literatura dominicana en los Estados Unidos : presencia temprana, 1900-1950 / selección y prólogo, Daisy Cocco De Filippis, Franklin Gutiérrez.</t>
        </is>
      </c>
      <c r="H979" t="inlineStr">
        <is>
          <t>No</t>
        </is>
      </c>
      <c r="I979" t="inlineStr">
        <is>
          <t>1</t>
        </is>
      </c>
      <c r="J979" t="inlineStr">
        <is>
          <t>No</t>
        </is>
      </c>
      <c r="K979" t="inlineStr">
        <is>
          <t>No</t>
        </is>
      </c>
      <c r="L979" t="inlineStr">
        <is>
          <t>0</t>
        </is>
      </c>
      <c r="N979" t="inlineStr">
        <is>
          <t>Santo Domingo, República Domonicana : Editora Buho, 2001.</t>
        </is>
      </c>
      <c r="O979" t="inlineStr">
        <is>
          <t>2001</t>
        </is>
      </c>
      <c r="P979" t="inlineStr">
        <is>
          <t>1a. ed.</t>
        </is>
      </c>
      <c r="Q979" t="inlineStr">
        <is>
          <t>spa</t>
        </is>
      </c>
      <c r="R979" t="inlineStr">
        <is>
          <t xml:space="preserve">dr </t>
        </is>
      </c>
      <c r="T979" t="inlineStr">
        <is>
          <t xml:space="preserve">PQ </t>
        </is>
      </c>
      <c r="U979" t="n">
        <v>1</v>
      </c>
      <c r="V979" t="n">
        <v>1</v>
      </c>
      <c r="W979" t="inlineStr">
        <is>
          <t>2002-10-29</t>
        </is>
      </c>
      <c r="X979" t="inlineStr">
        <is>
          <t>2002-10-29</t>
        </is>
      </c>
      <c r="Y979" t="inlineStr">
        <is>
          <t>2002-10-29</t>
        </is>
      </c>
      <c r="Z979" t="inlineStr">
        <is>
          <t>2002-10-29</t>
        </is>
      </c>
      <c r="AA979" t="n">
        <v>57</v>
      </c>
      <c r="AB979" t="n">
        <v>53</v>
      </c>
      <c r="AC979" t="n">
        <v>53</v>
      </c>
      <c r="AD979" t="n">
        <v>1</v>
      </c>
      <c r="AE979" t="n">
        <v>1</v>
      </c>
      <c r="AF979" t="n">
        <v>2</v>
      </c>
      <c r="AG979" t="n">
        <v>2</v>
      </c>
      <c r="AH979" t="n">
        <v>1</v>
      </c>
      <c r="AI979" t="n">
        <v>1</v>
      </c>
      <c r="AJ979" t="n">
        <v>1</v>
      </c>
      <c r="AK979" t="n">
        <v>1</v>
      </c>
      <c r="AL979" t="n">
        <v>0</v>
      </c>
      <c r="AM979" t="n">
        <v>0</v>
      </c>
      <c r="AN979" t="n">
        <v>0</v>
      </c>
      <c r="AO979" t="n">
        <v>0</v>
      </c>
      <c r="AP979" t="n">
        <v>0</v>
      </c>
      <c r="AQ979" t="n">
        <v>0</v>
      </c>
      <c r="AR979" t="inlineStr">
        <is>
          <t>No</t>
        </is>
      </c>
      <c r="AS979" t="inlineStr">
        <is>
          <t>No</t>
        </is>
      </c>
      <c r="AU979">
        <f>HYPERLINK("https://creighton-primo.hosted.exlibrisgroup.com/primo-explore/search?tab=default_tab&amp;search_scope=EVERYTHING&amp;vid=01CRU&amp;lang=en_US&amp;offset=0&amp;query=any,contains,991003807979702656","Catalog Record")</f>
        <v/>
      </c>
      <c r="AV979">
        <f>HYPERLINK("http://www.worldcat.org/oclc/49604215","WorldCat Record")</f>
        <v/>
      </c>
      <c r="AW979" t="inlineStr">
        <is>
          <t>918708668:spa</t>
        </is>
      </c>
      <c r="AX979" t="inlineStr">
        <is>
          <t>49604215</t>
        </is>
      </c>
      <c r="AY979" t="inlineStr">
        <is>
          <t>991003807979702656</t>
        </is>
      </c>
      <c r="AZ979" t="inlineStr">
        <is>
          <t>991003807979702656</t>
        </is>
      </c>
      <c r="BA979" t="inlineStr">
        <is>
          <t>2270610570002656</t>
        </is>
      </c>
      <c r="BB979" t="inlineStr">
        <is>
          <t>BOOK</t>
        </is>
      </c>
      <c r="BD979" t="inlineStr">
        <is>
          <t>9789993410027</t>
        </is>
      </c>
      <c r="BE979" t="inlineStr">
        <is>
          <t>32285004658505</t>
        </is>
      </c>
      <c r="BF979" t="inlineStr">
        <is>
          <t>893429246</t>
        </is>
      </c>
    </row>
    <row r="980">
      <c r="A980" t="inlineStr">
        <is>
          <t>No</t>
        </is>
      </c>
      <c r="B980" t="inlineStr">
        <is>
          <t>CURAL</t>
        </is>
      </c>
      <c r="C980" t="inlineStr">
        <is>
          <t>SHELVES</t>
        </is>
      </c>
      <c r="D980" t="inlineStr">
        <is>
          <t>PQ7400.5 .M36 1997</t>
        </is>
      </c>
      <c r="E980" t="inlineStr">
        <is>
          <t>0                      PQ 7400500M  36          1997</t>
        </is>
      </c>
      <c r="F980" t="inlineStr">
        <is>
          <t>Manifiestos literarios de la República Dominicana / Andrés L. Mateo.</t>
        </is>
      </c>
      <c r="H980" t="inlineStr">
        <is>
          <t>No</t>
        </is>
      </c>
      <c r="I980" t="inlineStr">
        <is>
          <t>1</t>
        </is>
      </c>
      <c r="J980" t="inlineStr">
        <is>
          <t>No</t>
        </is>
      </c>
      <c r="K980" t="inlineStr">
        <is>
          <t>No</t>
        </is>
      </c>
      <c r="L980" t="inlineStr">
        <is>
          <t>0</t>
        </is>
      </c>
      <c r="N980" t="inlineStr">
        <is>
          <t>[Dominican Republic : s.n.], 1997</t>
        </is>
      </c>
      <c r="O980" t="inlineStr">
        <is>
          <t>1997</t>
        </is>
      </c>
      <c r="P980" t="inlineStr">
        <is>
          <t>2. ed. corr. y ampliada.</t>
        </is>
      </c>
      <c r="Q980" t="inlineStr">
        <is>
          <t>spa</t>
        </is>
      </c>
      <c r="R980" t="inlineStr">
        <is>
          <t xml:space="preserve">dr </t>
        </is>
      </c>
      <c r="S980" t="inlineStr">
        <is>
          <t>Serie Literatura dominicana</t>
        </is>
      </c>
      <c r="T980" t="inlineStr">
        <is>
          <t xml:space="preserve">PQ </t>
        </is>
      </c>
      <c r="U980" t="n">
        <v>1</v>
      </c>
      <c r="V980" t="n">
        <v>1</v>
      </c>
      <c r="W980" t="inlineStr">
        <is>
          <t>1997-09-17</t>
        </is>
      </c>
      <c r="X980" t="inlineStr">
        <is>
          <t>1997-09-17</t>
        </is>
      </c>
      <c r="Y980" t="inlineStr">
        <is>
          <t>1997-06-10</t>
        </is>
      </c>
      <c r="Z980" t="inlineStr">
        <is>
          <t>1997-06-10</t>
        </is>
      </c>
      <c r="AA980" t="n">
        <v>36</v>
      </c>
      <c r="AB980" t="n">
        <v>34</v>
      </c>
      <c r="AC980" t="n">
        <v>54</v>
      </c>
      <c r="AD980" t="n">
        <v>1</v>
      </c>
      <c r="AE980" t="n">
        <v>1</v>
      </c>
      <c r="AF980" t="n">
        <v>2</v>
      </c>
      <c r="AG980" t="n">
        <v>3</v>
      </c>
      <c r="AH980" t="n">
        <v>0</v>
      </c>
      <c r="AI980" t="n">
        <v>0</v>
      </c>
      <c r="AJ980" t="n">
        <v>1</v>
      </c>
      <c r="AK980" t="n">
        <v>2</v>
      </c>
      <c r="AL980" t="n">
        <v>1</v>
      </c>
      <c r="AM980" t="n">
        <v>1</v>
      </c>
      <c r="AN980" t="n">
        <v>0</v>
      </c>
      <c r="AO980" t="n">
        <v>0</v>
      </c>
      <c r="AP980" t="n">
        <v>0</v>
      </c>
      <c r="AQ980" t="n">
        <v>0</v>
      </c>
      <c r="AR980" t="inlineStr">
        <is>
          <t>No</t>
        </is>
      </c>
      <c r="AS980" t="inlineStr">
        <is>
          <t>Yes</t>
        </is>
      </c>
      <c r="AT980">
        <f>HYPERLINK("http://catalog.hathitrust.org/Record/003263212","HathiTrust Record")</f>
        <v/>
      </c>
      <c r="AU980">
        <f>HYPERLINK("https://creighton-primo.hosted.exlibrisgroup.com/primo-explore/search?tab=default_tab&amp;search_scope=EVERYTHING&amp;vid=01CRU&amp;lang=en_US&amp;offset=0&amp;query=any,contains,991002817569702656","Catalog Record")</f>
        <v/>
      </c>
      <c r="AV980">
        <f>HYPERLINK("http://www.worldcat.org/oclc/37004659","WorldCat Record")</f>
        <v/>
      </c>
      <c r="AW980" t="inlineStr">
        <is>
          <t>54745785:spa</t>
        </is>
      </c>
      <c r="AX980" t="inlineStr">
        <is>
          <t>37004659</t>
        </is>
      </c>
      <c r="AY980" t="inlineStr">
        <is>
          <t>991002817569702656</t>
        </is>
      </c>
      <c r="AZ980" t="inlineStr">
        <is>
          <t>991002817569702656</t>
        </is>
      </c>
      <c r="BA980" t="inlineStr">
        <is>
          <t>2272572900002656</t>
        </is>
      </c>
      <c r="BB980" t="inlineStr">
        <is>
          <t>BOOK</t>
        </is>
      </c>
      <c r="BD980" t="inlineStr">
        <is>
          <t>9788489539365</t>
        </is>
      </c>
      <c r="BE980" t="inlineStr">
        <is>
          <t>32285002750940</t>
        </is>
      </c>
      <c r="BF980" t="inlineStr">
        <is>
          <t>893511229</t>
        </is>
      </c>
    </row>
    <row r="981">
      <c r="A981" t="inlineStr">
        <is>
          <t>No</t>
        </is>
      </c>
      <c r="B981" t="inlineStr">
        <is>
          <t>CURAL</t>
        </is>
      </c>
      <c r="C981" t="inlineStr">
        <is>
          <t>SHELVES</t>
        </is>
      </c>
      <c r="D981" t="inlineStr">
        <is>
          <t>PQ7400.5 .V3 1999</t>
        </is>
      </c>
      <c r="E981" t="inlineStr">
        <is>
          <t>0                      PQ 7400500V  3           1999</t>
        </is>
      </c>
      <c r="F981" t="inlineStr">
        <is>
          <t>Las madres de la patria y las bellas mentiras : imágenes de la mujer en el discurso literario nacional de la República Dominicana, 1844-1899 / Catharina Vallejo.</t>
        </is>
      </c>
      <c r="H981" t="inlineStr">
        <is>
          <t>No</t>
        </is>
      </c>
      <c r="I981" t="inlineStr">
        <is>
          <t>1</t>
        </is>
      </c>
      <c r="J981" t="inlineStr">
        <is>
          <t>No</t>
        </is>
      </c>
      <c r="K981" t="inlineStr">
        <is>
          <t>No</t>
        </is>
      </c>
      <c r="L981" t="inlineStr">
        <is>
          <t>0</t>
        </is>
      </c>
      <c r="M981" t="inlineStr">
        <is>
          <t>Vallejo, Catharina V. de (Catharina Vanderplaats)</t>
        </is>
      </c>
      <c r="N981" t="inlineStr">
        <is>
          <t>Miami, Fla. : Ediciones Universal, 1999.</t>
        </is>
      </c>
      <c r="O981" t="inlineStr">
        <is>
          <t>1999</t>
        </is>
      </c>
      <c r="P981" t="inlineStr">
        <is>
          <t>1. ed.</t>
        </is>
      </c>
      <c r="Q981" t="inlineStr">
        <is>
          <t>spa</t>
        </is>
      </c>
      <c r="R981" t="inlineStr">
        <is>
          <t>flu</t>
        </is>
      </c>
      <c r="S981" t="inlineStr">
        <is>
          <t>Colección Polymita</t>
        </is>
      </c>
      <c r="T981" t="inlineStr">
        <is>
          <t xml:space="preserve">PQ </t>
        </is>
      </c>
      <c r="U981" t="n">
        <v>2</v>
      </c>
      <c r="V981" t="n">
        <v>2</v>
      </c>
      <c r="W981" t="inlineStr">
        <is>
          <t>2001-05-16</t>
        </is>
      </c>
      <c r="X981" t="inlineStr">
        <is>
          <t>2001-05-16</t>
        </is>
      </c>
      <c r="Y981" t="inlineStr">
        <is>
          <t>2001-04-02</t>
        </is>
      </c>
      <c r="Z981" t="inlineStr">
        <is>
          <t>2001-04-02</t>
        </is>
      </c>
      <c r="AA981" t="n">
        <v>88</v>
      </c>
      <c r="AB981" t="n">
        <v>75</v>
      </c>
      <c r="AC981" t="n">
        <v>80</v>
      </c>
      <c r="AD981" t="n">
        <v>2</v>
      </c>
      <c r="AE981" t="n">
        <v>2</v>
      </c>
      <c r="AF981" t="n">
        <v>5</v>
      </c>
      <c r="AG981" t="n">
        <v>5</v>
      </c>
      <c r="AH981" t="n">
        <v>2</v>
      </c>
      <c r="AI981" t="n">
        <v>2</v>
      </c>
      <c r="AJ981" t="n">
        <v>2</v>
      </c>
      <c r="AK981" t="n">
        <v>2</v>
      </c>
      <c r="AL981" t="n">
        <v>0</v>
      </c>
      <c r="AM981" t="n">
        <v>0</v>
      </c>
      <c r="AN981" t="n">
        <v>1</v>
      </c>
      <c r="AO981" t="n">
        <v>1</v>
      </c>
      <c r="AP981" t="n">
        <v>0</v>
      </c>
      <c r="AQ981" t="n">
        <v>0</v>
      </c>
      <c r="AR981" t="inlineStr">
        <is>
          <t>No</t>
        </is>
      </c>
      <c r="AS981" t="inlineStr">
        <is>
          <t>Yes</t>
        </is>
      </c>
      <c r="AT981">
        <f>HYPERLINK("http://catalog.hathitrust.org/Record/004098540","HathiTrust Record")</f>
        <v/>
      </c>
      <c r="AU981">
        <f>HYPERLINK("https://creighton-primo.hosted.exlibrisgroup.com/primo-explore/search?tab=default_tab&amp;search_scope=EVERYTHING&amp;vid=01CRU&amp;lang=en_US&amp;offset=0&amp;query=any,contains,991003511359702656","Catalog Record")</f>
        <v/>
      </c>
      <c r="AV981">
        <f>HYPERLINK("http://www.worldcat.org/oclc/42203510","WorldCat Record")</f>
        <v/>
      </c>
      <c r="AW981" t="inlineStr">
        <is>
          <t>475749769:spa</t>
        </is>
      </c>
      <c r="AX981" t="inlineStr">
        <is>
          <t>42203510</t>
        </is>
      </c>
      <c r="AY981" t="inlineStr">
        <is>
          <t>991003511359702656</t>
        </is>
      </c>
      <c r="AZ981" t="inlineStr">
        <is>
          <t>991003511359702656</t>
        </is>
      </c>
      <c r="BA981" t="inlineStr">
        <is>
          <t>2265811960002656</t>
        </is>
      </c>
      <c r="BB981" t="inlineStr">
        <is>
          <t>BOOK</t>
        </is>
      </c>
      <c r="BD981" t="inlineStr">
        <is>
          <t>9780897298902</t>
        </is>
      </c>
      <c r="BE981" t="inlineStr">
        <is>
          <t>32285004309083</t>
        </is>
      </c>
      <c r="BF981" t="inlineStr">
        <is>
          <t>893904395</t>
        </is>
      </c>
    </row>
    <row r="982">
      <c r="A982" t="inlineStr">
        <is>
          <t>No</t>
        </is>
      </c>
      <c r="B982" t="inlineStr">
        <is>
          <t>CURAL</t>
        </is>
      </c>
      <c r="C982" t="inlineStr">
        <is>
          <t>SHELVES</t>
        </is>
      </c>
      <c r="D982" t="inlineStr">
        <is>
          <t>PQ7400.A515 C65 1993</t>
        </is>
      </c>
      <c r="E982" t="inlineStr">
        <is>
          <t>0                      PQ 7400000A  515                C  65          1993</t>
        </is>
      </c>
      <c r="F982" t="inlineStr">
        <is>
          <t>Ponencias del Congreso Crítico de Literatura Dominicana / Diógenes Céspedes, Soledad Alvarez, Pedro Vergés.</t>
        </is>
      </c>
      <c r="H982" t="inlineStr">
        <is>
          <t>No</t>
        </is>
      </c>
      <c r="I982" t="inlineStr">
        <is>
          <t>1</t>
        </is>
      </c>
      <c r="J982" t="inlineStr">
        <is>
          <t>No</t>
        </is>
      </c>
      <c r="K982" t="inlineStr">
        <is>
          <t>No</t>
        </is>
      </c>
      <c r="L982" t="inlineStr">
        <is>
          <t>0</t>
        </is>
      </c>
      <c r="M982" t="inlineStr">
        <is>
          <t>Congreso Crítico de Literatura Dominicana (1993 : Santo Domingo, Dominican Republic)</t>
        </is>
      </c>
      <c r="N982" t="inlineStr">
        <is>
          <t>Santo Domingo, República Dominicana : [s.n.], 1994</t>
        </is>
      </c>
      <c r="O982" t="inlineStr">
        <is>
          <t>1994</t>
        </is>
      </c>
      <c r="Q982" t="inlineStr">
        <is>
          <t>spa</t>
        </is>
      </c>
      <c r="R982" t="inlineStr">
        <is>
          <t xml:space="preserve">dr </t>
        </is>
      </c>
      <c r="T982" t="inlineStr">
        <is>
          <t xml:space="preserve">PQ </t>
        </is>
      </c>
      <c r="U982" t="n">
        <v>2</v>
      </c>
      <c r="V982" t="n">
        <v>2</v>
      </c>
      <c r="W982" t="inlineStr">
        <is>
          <t>1996-09-03</t>
        </is>
      </c>
      <c r="X982" t="inlineStr">
        <is>
          <t>1996-09-03</t>
        </is>
      </c>
      <c r="Y982" t="inlineStr">
        <is>
          <t>1996-07-03</t>
        </is>
      </c>
      <c r="Z982" t="inlineStr">
        <is>
          <t>1996-07-03</t>
        </is>
      </c>
      <c r="AA982" t="n">
        <v>47</v>
      </c>
      <c r="AB982" t="n">
        <v>42</v>
      </c>
      <c r="AC982" t="n">
        <v>44</v>
      </c>
      <c r="AD982" t="n">
        <v>1</v>
      </c>
      <c r="AE982" t="n">
        <v>1</v>
      </c>
      <c r="AF982" t="n">
        <v>2</v>
      </c>
      <c r="AG982" t="n">
        <v>2</v>
      </c>
      <c r="AH982" t="n">
        <v>0</v>
      </c>
      <c r="AI982" t="n">
        <v>0</v>
      </c>
      <c r="AJ982" t="n">
        <v>1</v>
      </c>
      <c r="AK982" t="n">
        <v>1</v>
      </c>
      <c r="AL982" t="n">
        <v>1</v>
      </c>
      <c r="AM982" t="n">
        <v>1</v>
      </c>
      <c r="AN982" t="n">
        <v>0</v>
      </c>
      <c r="AO982" t="n">
        <v>0</v>
      </c>
      <c r="AP982" t="n">
        <v>0</v>
      </c>
      <c r="AQ982" t="n">
        <v>0</v>
      </c>
      <c r="AR982" t="inlineStr">
        <is>
          <t>No</t>
        </is>
      </c>
      <c r="AS982" t="inlineStr">
        <is>
          <t>Yes</t>
        </is>
      </c>
      <c r="AT982">
        <f>HYPERLINK("http://catalog.hathitrust.org/Record/003075549","HathiTrust Record")</f>
        <v/>
      </c>
      <c r="AU982">
        <f>HYPERLINK("https://creighton-primo.hosted.exlibrisgroup.com/primo-explore/search?tab=default_tab&amp;search_scope=EVERYTHING&amp;vid=01CRU&amp;lang=en_US&amp;offset=0&amp;query=any,contains,991002516989702656","Catalog Record")</f>
        <v/>
      </c>
      <c r="AV982">
        <f>HYPERLINK("http://www.worldcat.org/oclc/32738793","WorldCat Record")</f>
        <v/>
      </c>
      <c r="AW982" t="inlineStr">
        <is>
          <t>37122200:spa</t>
        </is>
      </c>
      <c r="AX982" t="inlineStr">
        <is>
          <t>32738793</t>
        </is>
      </c>
      <c r="AY982" t="inlineStr">
        <is>
          <t>991002516989702656</t>
        </is>
      </c>
      <c r="AZ982" t="inlineStr">
        <is>
          <t>991002516989702656</t>
        </is>
      </c>
      <c r="BA982" t="inlineStr">
        <is>
          <t>2269738650002656</t>
        </is>
      </c>
      <c r="BB982" t="inlineStr">
        <is>
          <t>BOOK</t>
        </is>
      </c>
      <c r="BD982" t="inlineStr">
        <is>
          <t>9788489539129</t>
        </is>
      </c>
      <c r="BE982" t="inlineStr">
        <is>
          <t>32285002206356</t>
        </is>
      </c>
      <c r="BF982" t="inlineStr">
        <is>
          <t>893347580</t>
        </is>
      </c>
    </row>
    <row r="983">
      <c r="A983" t="inlineStr">
        <is>
          <t>No</t>
        </is>
      </c>
      <c r="B983" t="inlineStr">
        <is>
          <t>CURAL</t>
        </is>
      </c>
      <c r="C983" t="inlineStr">
        <is>
          <t>SHELVES</t>
        </is>
      </c>
      <c r="D983" t="inlineStr">
        <is>
          <t>PQ7402 .B45 2003</t>
        </is>
      </c>
      <c r="E983" t="inlineStr">
        <is>
          <t>0                      PQ 7402000B  45          2003</t>
        </is>
      </c>
      <c r="F983" t="inlineStr">
        <is>
          <t>La espiral sonora : antologaia del poema en prosa en Santo Domingo, 1900-2000 / Basilio Belliard.</t>
        </is>
      </c>
      <c r="H983" t="inlineStr">
        <is>
          <t>No</t>
        </is>
      </c>
      <c r="I983" t="inlineStr">
        <is>
          <t>1</t>
        </is>
      </c>
      <c r="J983" t="inlineStr">
        <is>
          <t>No</t>
        </is>
      </c>
      <c r="K983" t="inlineStr">
        <is>
          <t>No</t>
        </is>
      </c>
      <c r="L983" t="inlineStr">
        <is>
          <t>0</t>
        </is>
      </c>
      <c r="M983" t="inlineStr">
        <is>
          <t>Belliard, Basilio.</t>
        </is>
      </c>
      <c r="N983" t="inlineStr">
        <is>
          <t>Santo Domingo, Repaublica Dominicana : Ediciones Libreraia La Trinitaria, 2003.</t>
        </is>
      </c>
      <c r="O983" t="inlineStr">
        <is>
          <t>2003</t>
        </is>
      </c>
      <c r="P983" t="inlineStr">
        <is>
          <t>1. ed.</t>
        </is>
      </c>
      <c r="Q983" t="inlineStr">
        <is>
          <t>spa</t>
        </is>
      </c>
      <c r="R983" t="inlineStr">
        <is>
          <t xml:space="preserve">dr </t>
        </is>
      </c>
      <c r="T983" t="inlineStr">
        <is>
          <t xml:space="preserve">PQ </t>
        </is>
      </c>
      <c r="U983" t="n">
        <v>1</v>
      </c>
      <c r="V983" t="n">
        <v>1</v>
      </c>
      <c r="W983" t="inlineStr">
        <is>
          <t>2004-07-28</t>
        </is>
      </c>
      <c r="X983" t="inlineStr">
        <is>
          <t>2004-07-28</t>
        </is>
      </c>
      <c r="Y983" t="inlineStr">
        <is>
          <t>2004-07-28</t>
        </is>
      </c>
      <c r="Z983" t="inlineStr">
        <is>
          <t>2004-07-28</t>
        </is>
      </c>
      <c r="AA983" t="n">
        <v>37</v>
      </c>
      <c r="AB983" t="n">
        <v>33</v>
      </c>
      <c r="AC983" t="n">
        <v>35</v>
      </c>
      <c r="AD983" t="n">
        <v>1</v>
      </c>
      <c r="AE983" t="n">
        <v>1</v>
      </c>
      <c r="AF983" t="n">
        <v>1</v>
      </c>
      <c r="AG983" t="n">
        <v>1</v>
      </c>
      <c r="AH983" t="n">
        <v>0</v>
      </c>
      <c r="AI983" t="n">
        <v>0</v>
      </c>
      <c r="AJ983" t="n">
        <v>1</v>
      </c>
      <c r="AK983" t="n">
        <v>1</v>
      </c>
      <c r="AL983" t="n">
        <v>0</v>
      </c>
      <c r="AM983" t="n">
        <v>0</v>
      </c>
      <c r="AN983" t="n">
        <v>0</v>
      </c>
      <c r="AO983" t="n">
        <v>0</v>
      </c>
      <c r="AP983" t="n">
        <v>0</v>
      </c>
      <c r="AQ983" t="n">
        <v>0</v>
      </c>
      <c r="AR983" t="inlineStr">
        <is>
          <t>No</t>
        </is>
      </c>
      <c r="AS983" t="inlineStr">
        <is>
          <t>Yes</t>
        </is>
      </c>
      <c r="AT983">
        <f>HYPERLINK("http://catalog.hathitrust.org/Record/101104708","HathiTrust Record")</f>
        <v/>
      </c>
      <c r="AU983">
        <f>HYPERLINK("https://creighton-primo.hosted.exlibrisgroup.com/primo-explore/search?tab=default_tab&amp;search_scope=EVERYTHING&amp;vid=01CRU&amp;lang=en_US&amp;offset=0&amp;query=any,contains,991004329919702656","Catalog Record")</f>
        <v/>
      </c>
      <c r="AV983">
        <f>HYPERLINK("http://www.worldcat.org/oclc/56068675","WorldCat Record")</f>
        <v/>
      </c>
      <c r="AW983" t="inlineStr">
        <is>
          <t>908082885:spa</t>
        </is>
      </c>
      <c r="AX983" t="inlineStr">
        <is>
          <t>56068675</t>
        </is>
      </c>
      <c r="AY983" t="inlineStr">
        <is>
          <t>991004329919702656</t>
        </is>
      </c>
      <c r="AZ983" t="inlineStr">
        <is>
          <t>991004329919702656</t>
        </is>
      </c>
      <c r="BA983" t="inlineStr">
        <is>
          <t>2266377220002656</t>
        </is>
      </c>
      <c r="BB983" t="inlineStr">
        <is>
          <t>BOOK</t>
        </is>
      </c>
      <c r="BD983" t="inlineStr">
        <is>
          <t>9789993403869</t>
        </is>
      </c>
      <c r="BE983" t="inlineStr">
        <is>
          <t>32285004925789</t>
        </is>
      </c>
      <c r="BF983" t="inlineStr">
        <is>
          <t>893442492</t>
        </is>
      </c>
    </row>
    <row r="984">
      <c r="A984" t="inlineStr">
        <is>
          <t>No</t>
        </is>
      </c>
      <c r="B984" t="inlineStr">
        <is>
          <t>CURAL</t>
        </is>
      </c>
      <c r="C984" t="inlineStr">
        <is>
          <t>SHELVES</t>
        </is>
      </c>
      <c r="D984" t="inlineStr">
        <is>
          <t>PQ7402 .G56 2002</t>
        </is>
      </c>
      <c r="E984" t="inlineStr">
        <is>
          <t>0                      PQ 7402000G  56          2002</t>
        </is>
      </c>
      <c r="F984" t="inlineStr">
        <is>
          <t>La poesía de mujeres dominicanas a fines del siglo XX / Ester Gimbernat González.</t>
        </is>
      </c>
      <c r="H984" t="inlineStr">
        <is>
          <t>No</t>
        </is>
      </c>
      <c r="I984" t="inlineStr">
        <is>
          <t>1</t>
        </is>
      </c>
      <c r="J984" t="inlineStr">
        <is>
          <t>No</t>
        </is>
      </c>
      <c r="K984" t="inlineStr">
        <is>
          <t>No</t>
        </is>
      </c>
      <c r="L984" t="inlineStr">
        <is>
          <t>0</t>
        </is>
      </c>
      <c r="M984" t="inlineStr">
        <is>
          <t>Gimbernat González, Ester.</t>
        </is>
      </c>
      <c r="N984" t="inlineStr">
        <is>
          <t>Lewiston, N.Y. : Edwin Mellen Press, c2002.</t>
        </is>
      </c>
      <c r="O984" t="inlineStr">
        <is>
          <t>2002</t>
        </is>
      </c>
      <c r="Q984" t="inlineStr">
        <is>
          <t>spa</t>
        </is>
      </c>
      <c r="R984" t="inlineStr">
        <is>
          <t>nyu</t>
        </is>
      </c>
      <c r="S984" t="inlineStr">
        <is>
          <t>Hispanic literature ; v. 74</t>
        </is>
      </c>
      <c r="T984" t="inlineStr">
        <is>
          <t xml:space="preserve">PQ </t>
        </is>
      </c>
      <c r="U984" t="n">
        <v>1</v>
      </c>
      <c r="V984" t="n">
        <v>1</v>
      </c>
      <c r="W984" t="inlineStr">
        <is>
          <t>2002-12-05</t>
        </is>
      </c>
      <c r="X984" t="inlineStr">
        <is>
          <t>2002-12-05</t>
        </is>
      </c>
      <c r="Y984" t="inlineStr">
        <is>
          <t>2002-12-05</t>
        </is>
      </c>
      <c r="Z984" t="inlineStr">
        <is>
          <t>2002-12-05</t>
        </is>
      </c>
      <c r="AA984" t="n">
        <v>68</v>
      </c>
      <c r="AB984" t="n">
        <v>57</v>
      </c>
      <c r="AC984" t="n">
        <v>59</v>
      </c>
      <c r="AD984" t="n">
        <v>2</v>
      </c>
      <c r="AE984" t="n">
        <v>2</v>
      </c>
      <c r="AF984" t="n">
        <v>2</v>
      </c>
      <c r="AG984" t="n">
        <v>2</v>
      </c>
      <c r="AH984" t="n">
        <v>0</v>
      </c>
      <c r="AI984" t="n">
        <v>0</v>
      </c>
      <c r="AJ984" t="n">
        <v>1</v>
      </c>
      <c r="AK984" t="n">
        <v>1</v>
      </c>
      <c r="AL984" t="n">
        <v>0</v>
      </c>
      <c r="AM984" t="n">
        <v>0</v>
      </c>
      <c r="AN984" t="n">
        <v>1</v>
      </c>
      <c r="AO984" t="n">
        <v>1</v>
      </c>
      <c r="AP984" t="n">
        <v>0</v>
      </c>
      <c r="AQ984" t="n">
        <v>0</v>
      </c>
      <c r="AR984" t="inlineStr">
        <is>
          <t>No</t>
        </is>
      </c>
      <c r="AS984" t="inlineStr">
        <is>
          <t>Yes</t>
        </is>
      </c>
      <c r="AT984">
        <f>HYPERLINK("http://catalog.hathitrust.org/Record/007436829","HathiTrust Record")</f>
        <v/>
      </c>
      <c r="AU984">
        <f>HYPERLINK("https://creighton-primo.hosted.exlibrisgroup.com/primo-explore/search?tab=default_tab&amp;search_scope=EVERYTHING&amp;vid=01CRU&amp;lang=en_US&amp;offset=0&amp;query=any,contains,991003952629702656","Catalog Record")</f>
        <v/>
      </c>
      <c r="AV984">
        <f>HYPERLINK("http://www.worldcat.org/oclc/50004894","WorldCat Record")</f>
        <v/>
      </c>
      <c r="AW984" t="inlineStr">
        <is>
          <t>351590031:spa</t>
        </is>
      </c>
      <c r="AX984" t="inlineStr">
        <is>
          <t>50004894</t>
        </is>
      </c>
      <c r="AY984" t="inlineStr">
        <is>
          <t>991003952629702656</t>
        </is>
      </c>
      <c r="AZ984" t="inlineStr">
        <is>
          <t>991003952629702656</t>
        </is>
      </c>
      <c r="BA984" t="inlineStr">
        <is>
          <t>2267383070002656</t>
        </is>
      </c>
      <c r="BB984" t="inlineStr">
        <is>
          <t>BOOK</t>
        </is>
      </c>
      <c r="BD984" t="inlineStr">
        <is>
          <t>9780773470231</t>
        </is>
      </c>
      <c r="BE984" t="inlineStr">
        <is>
          <t>32285004668736</t>
        </is>
      </c>
      <c r="BF984" t="inlineStr">
        <is>
          <t>893253061</t>
        </is>
      </c>
    </row>
    <row r="985">
      <c r="A985" t="inlineStr">
        <is>
          <t>No</t>
        </is>
      </c>
      <c r="B985" t="inlineStr">
        <is>
          <t>CURAL</t>
        </is>
      </c>
      <c r="C985" t="inlineStr">
        <is>
          <t>SHELVES</t>
        </is>
      </c>
      <c r="D985" t="inlineStr">
        <is>
          <t>PQ7402 .N33 2001</t>
        </is>
      </c>
      <c r="E985" t="inlineStr">
        <is>
          <t>0                      PQ 7402000N  33          2001</t>
        </is>
      </c>
      <c r="F985" t="inlineStr">
        <is>
          <t>Contrapunto, desconcierto y territorios afectivos de mujeres / Ylonka Nacidit-Perdomo.</t>
        </is>
      </c>
      <c r="H985" t="inlineStr">
        <is>
          <t>No</t>
        </is>
      </c>
      <c r="I985" t="inlineStr">
        <is>
          <t>1</t>
        </is>
      </c>
      <c r="J985" t="inlineStr">
        <is>
          <t>No</t>
        </is>
      </c>
      <c r="K985" t="inlineStr">
        <is>
          <t>No</t>
        </is>
      </c>
      <c r="L985" t="inlineStr">
        <is>
          <t>0</t>
        </is>
      </c>
      <c r="M985" t="inlineStr">
        <is>
          <t>Nacidit Perdomo, Ylonca.</t>
        </is>
      </c>
      <c r="N985" t="inlineStr">
        <is>
          <t>Montreal, Quebec : CCLEH, c2001.</t>
        </is>
      </c>
      <c r="O985" t="inlineStr">
        <is>
          <t>2001</t>
        </is>
      </c>
      <c r="Q985" t="inlineStr">
        <is>
          <t>spa</t>
        </is>
      </c>
      <c r="R985" t="inlineStr">
        <is>
          <t>quc</t>
        </is>
      </c>
      <c r="S985" t="inlineStr">
        <is>
          <t>Colección Ventana</t>
        </is>
      </c>
      <c r="T985" t="inlineStr">
        <is>
          <t xml:space="preserve">PQ </t>
        </is>
      </c>
      <c r="U985" t="n">
        <v>1</v>
      </c>
      <c r="V985" t="n">
        <v>1</v>
      </c>
      <c r="W985" t="inlineStr">
        <is>
          <t>2003-07-16</t>
        </is>
      </c>
      <c r="X985" t="inlineStr">
        <is>
          <t>2003-07-16</t>
        </is>
      </c>
      <c r="Y985" t="inlineStr">
        <is>
          <t>2003-07-16</t>
        </is>
      </c>
      <c r="Z985" t="inlineStr">
        <is>
          <t>2003-07-16</t>
        </is>
      </c>
      <c r="AA985" t="n">
        <v>14</v>
      </c>
      <c r="AB985" t="n">
        <v>13</v>
      </c>
      <c r="AC985" t="n">
        <v>14</v>
      </c>
      <c r="AD985" t="n">
        <v>1</v>
      </c>
      <c r="AE985" t="n">
        <v>1</v>
      </c>
      <c r="AF985" t="n">
        <v>1</v>
      </c>
      <c r="AG985" t="n">
        <v>1</v>
      </c>
      <c r="AH985" t="n">
        <v>0</v>
      </c>
      <c r="AI985" t="n">
        <v>0</v>
      </c>
      <c r="AJ985" t="n">
        <v>1</v>
      </c>
      <c r="AK985" t="n">
        <v>1</v>
      </c>
      <c r="AL985" t="n">
        <v>1</v>
      </c>
      <c r="AM985" t="n">
        <v>1</v>
      </c>
      <c r="AN985" t="n">
        <v>0</v>
      </c>
      <c r="AO985" t="n">
        <v>0</v>
      </c>
      <c r="AP985" t="n">
        <v>0</v>
      </c>
      <c r="AQ985" t="n">
        <v>0</v>
      </c>
      <c r="AR985" t="inlineStr">
        <is>
          <t>No</t>
        </is>
      </c>
      <c r="AS985" t="inlineStr">
        <is>
          <t>No</t>
        </is>
      </c>
      <c r="AU985">
        <f>HYPERLINK("https://creighton-primo.hosted.exlibrisgroup.com/primo-explore/search?tab=default_tab&amp;search_scope=EVERYTHING&amp;vid=01CRU&amp;lang=en_US&amp;offset=0&amp;query=any,contains,991004093339702656","Catalog Record")</f>
        <v/>
      </c>
      <c r="AV985">
        <f>HYPERLINK("http://www.worldcat.org/oclc/52280914","WorldCat Record")</f>
        <v/>
      </c>
      <c r="AW985" t="inlineStr">
        <is>
          <t>3858284216:spa</t>
        </is>
      </c>
      <c r="AX985" t="inlineStr">
        <is>
          <t>52280914</t>
        </is>
      </c>
      <c r="AY985" t="inlineStr">
        <is>
          <t>991004093339702656</t>
        </is>
      </c>
      <c r="AZ985" t="inlineStr">
        <is>
          <t>991004093339702656</t>
        </is>
      </c>
      <c r="BA985" t="inlineStr">
        <is>
          <t>2267573330002656</t>
        </is>
      </c>
      <c r="BB985" t="inlineStr">
        <is>
          <t>BOOK</t>
        </is>
      </c>
      <c r="BE985" t="inlineStr">
        <is>
          <t>32285004755657</t>
        </is>
      </c>
      <c r="BF985" t="inlineStr">
        <is>
          <t>893599411</t>
        </is>
      </c>
    </row>
    <row r="986">
      <c r="A986" t="inlineStr">
        <is>
          <t>No</t>
        </is>
      </c>
      <c r="B986" t="inlineStr">
        <is>
          <t>CURAL</t>
        </is>
      </c>
      <c r="C986" t="inlineStr">
        <is>
          <t>SHELVES</t>
        </is>
      </c>
      <c r="D986" t="inlineStr">
        <is>
          <t>PQ7402 .V53 1991</t>
        </is>
      </c>
      <c r="E986" t="inlineStr">
        <is>
          <t>0                      PQ 7402000V  53          1991</t>
        </is>
      </c>
      <c r="F986" t="inlineStr">
        <is>
          <t>Algo que decir : ensayos sobre literatura femenina, 1981-1991 / Sherezada Vicioso (Chiqui).</t>
        </is>
      </c>
      <c r="H986" t="inlineStr">
        <is>
          <t>No</t>
        </is>
      </c>
      <c r="I986" t="inlineStr">
        <is>
          <t>1</t>
        </is>
      </c>
      <c r="J986" t="inlineStr">
        <is>
          <t>No</t>
        </is>
      </c>
      <c r="K986" t="inlineStr">
        <is>
          <t>No</t>
        </is>
      </c>
      <c r="L986" t="inlineStr">
        <is>
          <t>0</t>
        </is>
      </c>
      <c r="M986" t="inlineStr">
        <is>
          <t>Vicioso, Sherezada, 1948-</t>
        </is>
      </c>
      <c r="N986" t="inlineStr">
        <is>
          <t>Santo Domingo, R.D. : Editora Búho, 1991.</t>
        </is>
      </c>
      <c r="O986" t="inlineStr">
        <is>
          <t>1991</t>
        </is>
      </c>
      <c r="P986" t="inlineStr">
        <is>
          <t>1. ed.</t>
        </is>
      </c>
      <c r="Q986" t="inlineStr">
        <is>
          <t>spa</t>
        </is>
      </c>
      <c r="R986" t="inlineStr">
        <is>
          <t xml:space="preserve">dr </t>
        </is>
      </c>
      <c r="T986" t="inlineStr">
        <is>
          <t xml:space="preserve">PQ </t>
        </is>
      </c>
      <c r="U986" t="n">
        <v>0</v>
      </c>
      <c r="V986" t="n">
        <v>0</v>
      </c>
      <c r="W986" t="inlineStr">
        <is>
          <t>2001-03-20</t>
        </is>
      </c>
      <c r="X986" t="inlineStr">
        <is>
          <t>2001-03-20</t>
        </is>
      </c>
      <c r="Y986" t="inlineStr">
        <is>
          <t>1996-07-09</t>
        </is>
      </c>
      <c r="Z986" t="inlineStr">
        <is>
          <t>1996-07-09</t>
        </is>
      </c>
      <c r="AA986" t="n">
        <v>34</v>
      </c>
      <c r="AB986" t="n">
        <v>29</v>
      </c>
      <c r="AC986" t="n">
        <v>95</v>
      </c>
      <c r="AD986" t="n">
        <v>1</v>
      </c>
      <c r="AE986" t="n">
        <v>1</v>
      </c>
      <c r="AF986" t="n">
        <v>1</v>
      </c>
      <c r="AG986" t="n">
        <v>5</v>
      </c>
      <c r="AH986" t="n">
        <v>0</v>
      </c>
      <c r="AI986" t="n">
        <v>1</v>
      </c>
      <c r="AJ986" t="n">
        <v>0</v>
      </c>
      <c r="AK986" t="n">
        <v>1</v>
      </c>
      <c r="AL986" t="n">
        <v>1</v>
      </c>
      <c r="AM986" t="n">
        <v>3</v>
      </c>
      <c r="AN986" t="n">
        <v>0</v>
      </c>
      <c r="AO986" t="n">
        <v>0</v>
      </c>
      <c r="AP986" t="n">
        <v>0</v>
      </c>
      <c r="AQ986" t="n">
        <v>0</v>
      </c>
      <c r="AR986" t="inlineStr">
        <is>
          <t>No</t>
        </is>
      </c>
      <c r="AS986" t="inlineStr">
        <is>
          <t>Yes</t>
        </is>
      </c>
      <c r="AT986">
        <f>HYPERLINK("http://catalog.hathitrust.org/Record/003060928","HathiTrust Record")</f>
        <v/>
      </c>
      <c r="AU986">
        <f>HYPERLINK("https://creighton-primo.hosted.exlibrisgroup.com/primo-explore/search?tab=default_tab&amp;search_scope=EVERYTHING&amp;vid=01CRU&amp;lang=en_US&amp;offset=0&amp;query=any,contains,991001963929702656","Catalog Record")</f>
        <v/>
      </c>
      <c r="AV986">
        <f>HYPERLINK("http://www.worldcat.org/oclc/24872818","WorldCat Record")</f>
        <v/>
      </c>
      <c r="AW986" t="inlineStr">
        <is>
          <t>26970412:spa</t>
        </is>
      </c>
      <c r="AX986" t="inlineStr">
        <is>
          <t>24872818</t>
        </is>
      </c>
      <c r="AY986" t="inlineStr">
        <is>
          <t>991001963929702656</t>
        </is>
      </c>
      <c r="AZ986" t="inlineStr">
        <is>
          <t>991001963929702656</t>
        </is>
      </c>
      <c r="BA986" t="inlineStr">
        <is>
          <t>2265841130002656</t>
        </is>
      </c>
      <c r="BB986" t="inlineStr">
        <is>
          <t>BOOK</t>
        </is>
      </c>
      <c r="BE986" t="inlineStr">
        <is>
          <t>32285002210168</t>
        </is>
      </c>
      <c r="BF986" t="inlineStr">
        <is>
          <t>893497575</t>
        </is>
      </c>
    </row>
    <row r="987">
      <c r="A987" t="inlineStr">
        <is>
          <t>No</t>
        </is>
      </c>
      <c r="B987" t="inlineStr">
        <is>
          <t>CURAL</t>
        </is>
      </c>
      <c r="C987" t="inlineStr">
        <is>
          <t>SHELVES</t>
        </is>
      </c>
      <c r="D987" t="inlineStr">
        <is>
          <t>PQ7404 .D5 1996</t>
        </is>
      </c>
      <c r="E987" t="inlineStr">
        <is>
          <t>0                      PQ 7404000D  5           1996</t>
        </is>
      </c>
      <c r="F987" t="inlineStr">
        <is>
          <t>Las mejores novelas dominicanas ; &amp; Bibliografía de la novela dominicana / Giovanni Di Pietro.</t>
        </is>
      </c>
      <c r="H987" t="inlineStr">
        <is>
          <t>No</t>
        </is>
      </c>
      <c r="I987" t="inlineStr">
        <is>
          <t>1</t>
        </is>
      </c>
      <c r="J987" t="inlineStr">
        <is>
          <t>No</t>
        </is>
      </c>
      <c r="K987" t="inlineStr">
        <is>
          <t>No</t>
        </is>
      </c>
      <c r="L987" t="inlineStr">
        <is>
          <t>0</t>
        </is>
      </c>
      <c r="M987" t="inlineStr">
        <is>
          <t>Di Pietro, Giovanni.</t>
        </is>
      </c>
      <c r="N987" t="inlineStr">
        <is>
          <t>San Juan, PR : Isla Negra Editores, 1996.</t>
        </is>
      </c>
      <c r="O987" t="inlineStr">
        <is>
          <t>1996</t>
        </is>
      </c>
      <c r="P987" t="inlineStr">
        <is>
          <t>1. ed.</t>
        </is>
      </c>
      <c r="Q987" t="inlineStr">
        <is>
          <t>spa</t>
        </is>
      </c>
      <c r="R987" t="inlineStr">
        <is>
          <t xml:space="preserve">pr </t>
        </is>
      </c>
      <c r="S987" t="inlineStr">
        <is>
          <t>Visiones y cegueras</t>
        </is>
      </c>
      <c r="T987" t="inlineStr">
        <is>
          <t xml:space="preserve">PQ </t>
        </is>
      </c>
      <c r="U987" t="n">
        <v>3</v>
      </c>
      <c r="V987" t="n">
        <v>3</v>
      </c>
      <c r="W987" t="inlineStr">
        <is>
          <t>1998-07-22</t>
        </is>
      </c>
      <c r="X987" t="inlineStr">
        <is>
          <t>1998-07-22</t>
        </is>
      </c>
      <c r="Y987" t="inlineStr">
        <is>
          <t>1997-04-30</t>
        </is>
      </c>
      <c r="Z987" t="inlineStr">
        <is>
          <t>1997-04-30</t>
        </is>
      </c>
      <c r="AA987" t="n">
        <v>63</v>
      </c>
      <c r="AB987" t="n">
        <v>55</v>
      </c>
      <c r="AC987" t="n">
        <v>56</v>
      </c>
      <c r="AD987" t="n">
        <v>1</v>
      </c>
      <c r="AE987" t="n">
        <v>1</v>
      </c>
      <c r="AF987" t="n">
        <v>3</v>
      </c>
      <c r="AG987" t="n">
        <v>3</v>
      </c>
      <c r="AH987" t="n">
        <v>0</v>
      </c>
      <c r="AI987" t="n">
        <v>0</v>
      </c>
      <c r="AJ987" t="n">
        <v>2</v>
      </c>
      <c r="AK987" t="n">
        <v>2</v>
      </c>
      <c r="AL987" t="n">
        <v>2</v>
      </c>
      <c r="AM987" t="n">
        <v>2</v>
      </c>
      <c r="AN987" t="n">
        <v>0</v>
      </c>
      <c r="AO987" t="n">
        <v>0</v>
      </c>
      <c r="AP987" t="n">
        <v>0</v>
      </c>
      <c r="AQ987" t="n">
        <v>0</v>
      </c>
      <c r="AR987" t="inlineStr">
        <is>
          <t>No</t>
        </is>
      </c>
      <c r="AS987" t="inlineStr">
        <is>
          <t>Yes</t>
        </is>
      </c>
      <c r="AT987">
        <f>HYPERLINK("http://catalog.hathitrust.org/Record/004716748","HathiTrust Record")</f>
        <v/>
      </c>
      <c r="AU987">
        <f>HYPERLINK("https://creighton-primo.hosted.exlibrisgroup.com/primo-explore/search?tab=default_tab&amp;search_scope=EVERYTHING&amp;vid=01CRU&amp;lang=en_US&amp;offset=0&amp;query=any,contains,991002795559702656","Catalog Record")</f>
        <v/>
      </c>
      <c r="AV987">
        <f>HYPERLINK("http://www.worldcat.org/oclc/36719489","WorldCat Record")</f>
        <v/>
      </c>
      <c r="AW987" t="inlineStr">
        <is>
          <t>503360895:spa</t>
        </is>
      </c>
      <c r="AX987" t="inlineStr">
        <is>
          <t>36719489</t>
        </is>
      </c>
      <c r="AY987" t="inlineStr">
        <is>
          <t>991002795559702656</t>
        </is>
      </c>
      <c r="AZ987" t="inlineStr">
        <is>
          <t>991002795559702656</t>
        </is>
      </c>
      <c r="BA987" t="inlineStr">
        <is>
          <t>2270718370002656</t>
        </is>
      </c>
      <c r="BB987" t="inlineStr">
        <is>
          <t>BOOK</t>
        </is>
      </c>
      <c r="BD987" t="inlineStr">
        <is>
          <t>9781881715153</t>
        </is>
      </c>
      <c r="BE987" t="inlineStr">
        <is>
          <t>32285002542750</t>
        </is>
      </c>
      <c r="BF987" t="inlineStr">
        <is>
          <t>893262475</t>
        </is>
      </c>
    </row>
    <row r="988">
      <c r="A988" t="inlineStr">
        <is>
          <t>No</t>
        </is>
      </c>
      <c r="B988" t="inlineStr">
        <is>
          <t>CURAL</t>
        </is>
      </c>
      <c r="C988" t="inlineStr">
        <is>
          <t>SHELVES</t>
        </is>
      </c>
      <c r="D988" t="inlineStr">
        <is>
          <t>PQ7405 .A56 1999</t>
        </is>
      </c>
      <c r="E988" t="inlineStr">
        <is>
          <t>0                      PQ 7405000A  56          1999</t>
        </is>
      </c>
      <c r="F988" t="inlineStr">
        <is>
          <t>Antología mayor de la literatura dominicana, siglos XIX-XX / selección, prólogo y notas, Manuel Rueda.</t>
        </is>
      </c>
      <c r="G988" t="inlineStr">
        <is>
          <t>V. 3</t>
        </is>
      </c>
      <c r="H988" t="inlineStr">
        <is>
          <t>Yes</t>
        </is>
      </c>
      <c r="I988" t="inlineStr">
        <is>
          <t>1</t>
        </is>
      </c>
      <c r="J988" t="inlineStr">
        <is>
          <t>No</t>
        </is>
      </c>
      <c r="K988" t="inlineStr">
        <is>
          <t>No</t>
        </is>
      </c>
      <c r="L988" t="inlineStr">
        <is>
          <t>0</t>
        </is>
      </c>
      <c r="N988" t="inlineStr">
        <is>
          <t>Santo Domingo : Ediciones de la Fundación Corripio, 1999-</t>
        </is>
      </c>
      <c r="O988" t="inlineStr">
        <is>
          <t>1999</t>
        </is>
      </c>
      <c r="Q988" t="inlineStr">
        <is>
          <t>spa</t>
        </is>
      </c>
      <c r="R988" t="inlineStr">
        <is>
          <t xml:space="preserve">dr </t>
        </is>
      </c>
      <c r="S988" t="inlineStr">
        <is>
          <t>Colección Prisma ; v. &lt;1-2 &gt;</t>
        </is>
      </c>
      <c r="T988" t="inlineStr">
        <is>
          <t xml:space="preserve">PQ </t>
        </is>
      </c>
      <c r="U988" t="n">
        <v>1</v>
      </c>
      <c r="V988" t="n">
        <v>4</v>
      </c>
      <c r="W988" t="inlineStr">
        <is>
          <t>2005-08-22</t>
        </is>
      </c>
      <c r="X988" t="inlineStr">
        <is>
          <t>2005-08-22</t>
        </is>
      </c>
      <c r="Y988" t="inlineStr">
        <is>
          <t>2001-06-19</t>
        </is>
      </c>
      <c r="Z988" t="inlineStr">
        <is>
          <t>2001-06-19</t>
        </is>
      </c>
      <c r="AA988" t="n">
        <v>45</v>
      </c>
      <c r="AB988" t="n">
        <v>40</v>
      </c>
      <c r="AC988" t="n">
        <v>42</v>
      </c>
      <c r="AD988" t="n">
        <v>1</v>
      </c>
      <c r="AE988" t="n">
        <v>1</v>
      </c>
      <c r="AF988" t="n">
        <v>1</v>
      </c>
      <c r="AG988" t="n">
        <v>1</v>
      </c>
      <c r="AH988" t="n">
        <v>0</v>
      </c>
      <c r="AI988" t="n">
        <v>0</v>
      </c>
      <c r="AJ988" t="n">
        <v>1</v>
      </c>
      <c r="AK988" t="n">
        <v>1</v>
      </c>
      <c r="AL988" t="n">
        <v>0</v>
      </c>
      <c r="AM988" t="n">
        <v>0</v>
      </c>
      <c r="AN988" t="n">
        <v>0</v>
      </c>
      <c r="AO988" t="n">
        <v>0</v>
      </c>
      <c r="AP988" t="n">
        <v>0</v>
      </c>
      <c r="AQ988" t="n">
        <v>0</v>
      </c>
      <c r="AR988" t="inlineStr">
        <is>
          <t>No</t>
        </is>
      </c>
      <c r="AS988" t="inlineStr">
        <is>
          <t>Yes</t>
        </is>
      </c>
      <c r="AT988">
        <f>HYPERLINK("http://catalog.hathitrust.org/Record/101104672","HathiTrust Record")</f>
        <v/>
      </c>
      <c r="AU988">
        <f>HYPERLINK("https://creighton-primo.hosted.exlibrisgroup.com/primo-explore/search?tab=default_tab&amp;search_scope=EVERYTHING&amp;vid=01CRU&amp;lang=en_US&amp;offset=0&amp;query=any,contains,991003286939702656","Catalog Record")</f>
        <v/>
      </c>
      <c r="AV988">
        <f>HYPERLINK("http://www.worldcat.org/oclc/45247472","WorldCat Record")</f>
        <v/>
      </c>
      <c r="AW988" t="inlineStr">
        <is>
          <t>3901755514:spa</t>
        </is>
      </c>
      <c r="AX988" t="inlineStr">
        <is>
          <t>45247472</t>
        </is>
      </c>
      <c r="AY988" t="inlineStr">
        <is>
          <t>991003286939702656</t>
        </is>
      </c>
      <c r="AZ988" t="inlineStr">
        <is>
          <t>991003286939702656</t>
        </is>
      </c>
      <c r="BA988" t="inlineStr">
        <is>
          <t>2268851930002656</t>
        </is>
      </c>
      <c r="BB988" t="inlineStr">
        <is>
          <t>BOOK</t>
        </is>
      </c>
      <c r="BE988" t="inlineStr">
        <is>
          <t>32285004328307</t>
        </is>
      </c>
      <c r="BF988" t="inlineStr">
        <is>
          <t>893422396</t>
        </is>
      </c>
    </row>
    <row r="989">
      <c r="A989" t="inlineStr">
        <is>
          <t>No</t>
        </is>
      </c>
      <c r="B989" t="inlineStr">
        <is>
          <t>CURAL</t>
        </is>
      </c>
      <c r="C989" t="inlineStr">
        <is>
          <t>SHELVES</t>
        </is>
      </c>
      <c r="D989" t="inlineStr">
        <is>
          <t>PQ7405 .A56 1999</t>
        </is>
      </c>
      <c r="E989" t="inlineStr">
        <is>
          <t>0                      PQ 7405000A  56          1999</t>
        </is>
      </c>
      <c r="F989" t="inlineStr">
        <is>
          <t>Antología mayor de la literatura dominicana, siglos XIX-XX / selección, prólogo y notas, Manuel Rueda.</t>
        </is>
      </c>
      <c r="G989" t="inlineStr">
        <is>
          <t>V. 4</t>
        </is>
      </c>
      <c r="H989" t="inlineStr">
        <is>
          <t>Yes</t>
        </is>
      </c>
      <c r="I989" t="inlineStr">
        <is>
          <t>1</t>
        </is>
      </c>
      <c r="J989" t="inlineStr">
        <is>
          <t>No</t>
        </is>
      </c>
      <c r="K989" t="inlineStr">
        <is>
          <t>No</t>
        </is>
      </c>
      <c r="L989" t="inlineStr">
        <is>
          <t>0</t>
        </is>
      </c>
      <c r="N989" t="inlineStr">
        <is>
          <t>Santo Domingo : Ediciones de la Fundación Corripio, 1999-</t>
        </is>
      </c>
      <c r="O989" t="inlineStr">
        <is>
          <t>1999</t>
        </is>
      </c>
      <c r="Q989" t="inlineStr">
        <is>
          <t>spa</t>
        </is>
      </c>
      <c r="R989" t="inlineStr">
        <is>
          <t xml:space="preserve">dr </t>
        </is>
      </c>
      <c r="S989" t="inlineStr">
        <is>
          <t>Colección Prisma ; v. &lt;1-2 &gt;</t>
        </is>
      </c>
      <c r="T989" t="inlineStr">
        <is>
          <t xml:space="preserve">PQ </t>
        </is>
      </c>
      <c r="U989" t="n">
        <v>1</v>
      </c>
      <c r="V989" t="n">
        <v>4</v>
      </c>
      <c r="W989" t="inlineStr">
        <is>
          <t>2005-08-22</t>
        </is>
      </c>
      <c r="X989" t="inlineStr">
        <is>
          <t>2005-08-22</t>
        </is>
      </c>
      <c r="Y989" t="inlineStr">
        <is>
          <t>2001-06-19</t>
        </is>
      </c>
      <c r="Z989" t="inlineStr">
        <is>
          <t>2001-06-19</t>
        </is>
      </c>
      <c r="AA989" t="n">
        <v>45</v>
      </c>
      <c r="AB989" t="n">
        <v>40</v>
      </c>
      <c r="AC989" t="n">
        <v>42</v>
      </c>
      <c r="AD989" t="n">
        <v>1</v>
      </c>
      <c r="AE989" t="n">
        <v>1</v>
      </c>
      <c r="AF989" t="n">
        <v>1</v>
      </c>
      <c r="AG989" t="n">
        <v>1</v>
      </c>
      <c r="AH989" t="n">
        <v>0</v>
      </c>
      <c r="AI989" t="n">
        <v>0</v>
      </c>
      <c r="AJ989" t="n">
        <v>1</v>
      </c>
      <c r="AK989" t="n">
        <v>1</v>
      </c>
      <c r="AL989" t="n">
        <v>0</v>
      </c>
      <c r="AM989" t="n">
        <v>0</v>
      </c>
      <c r="AN989" t="n">
        <v>0</v>
      </c>
      <c r="AO989" t="n">
        <v>0</v>
      </c>
      <c r="AP989" t="n">
        <v>0</v>
      </c>
      <c r="AQ989" t="n">
        <v>0</v>
      </c>
      <c r="AR989" t="inlineStr">
        <is>
          <t>No</t>
        </is>
      </c>
      <c r="AS989" t="inlineStr">
        <is>
          <t>Yes</t>
        </is>
      </c>
      <c r="AT989">
        <f>HYPERLINK("http://catalog.hathitrust.org/Record/101104672","HathiTrust Record")</f>
        <v/>
      </c>
      <c r="AU989">
        <f>HYPERLINK("https://creighton-primo.hosted.exlibrisgroup.com/primo-explore/search?tab=default_tab&amp;search_scope=EVERYTHING&amp;vid=01CRU&amp;lang=en_US&amp;offset=0&amp;query=any,contains,991003286939702656","Catalog Record")</f>
        <v/>
      </c>
      <c r="AV989">
        <f>HYPERLINK("http://www.worldcat.org/oclc/45247472","WorldCat Record")</f>
        <v/>
      </c>
      <c r="AW989" t="inlineStr">
        <is>
          <t>3901755514:spa</t>
        </is>
      </c>
      <c r="AX989" t="inlineStr">
        <is>
          <t>45247472</t>
        </is>
      </c>
      <c r="AY989" t="inlineStr">
        <is>
          <t>991003286939702656</t>
        </is>
      </c>
      <c r="AZ989" t="inlineStr">
        <is>
          <t>991003286939702656</t>
        </is>
      </c>
      <c r="BA989" t="inlineStr">
        <is>
          <t>2268851930002656</t>
        </is>
      </c>
      <c r="BB989" t="inlineStr">
        <is>
          <t>BOOK</t>
        </is>
      </c>
      <c r="BE989" t="inlineStr">
        <is>
          <t>32285004328315</t>
        </is>
      </c>
      <c r="BF989" t="inlineStr">
        <is>
          <t>893428638</t>
        </is>
      </c>
    </row>
    <row r="990">
      <c r="A990" t="inlineStr">
        <is>
          <t>No</t>
        </is>
      </c>
      <c r="B990" t="inlineStr">
        <is>
          <t>CURAL</t>
        </is>
      </c>
      <c r="C990" t="inlineStr">
        <is>
          <t>SHELVES</t>
        </is>
      </c>
      <c r="D990" t="inlineStr">
        <is>
          <t>PQ7407 .A58 2004</t>
        </is>
      </c>
      <c r="E990" t="inlineStr">
        <is>
          <t>0                      PQ 7407000A  58          2004</t>
        </is>
      </c>
      <c r="F990" t="inlineStr">
        <is>
          <t>Antología del teatro dominicano contemporáneo / L. Howard Quackenbush [compilador].</t>
        </is>
      </c>
      <c r="G990" t="inlineStr">
        <is>
          <t>V. 2</t>
        </is>
      </c>
      <c r="H990" t="inlineStr">
        <is>
          <t>Yes</t>
        </is>
      </c>
      <c r="I990" t="inlineStr">
        <is>
          <t>1</t>
        </is>
      </c>
      <c r="J990" t="inlineStr">
        <is>
          <t>No</t>
        </is>
      </c>
      <c r="K990" t="inlineStr">
        <is>
          <t>No</t>
        </is>
      </c>
      <c r="L990" t="inlineStr">
        <is>
          <t>0</t>
        </is>
      </c>
      <c r="N990" t="inlineStr">
        <is>
          <t>[Santo Domingo, República Dominicana] : Ediciones Librería La Trinitaria ; Provo, Utah : Brigham Young University, 2004.</t>
        </is>
      </c>
      <c r="O990" t="inlineStr">
        <is>
          <t>2004</t>
        </is>
      </c>
      <c r="P990" t="inlineStr">
        <is>
          <t>1. ed.</t>
        </is>
      </c>
      <c r="Q990" t="inlineStr">
        <is>
          <t>spa</t>
        </is>
      </c>
      <c r="R990" t="inlineStr">
        <is>
          <t xml:space="preserve">dr </t>
        </is>
      </c>
      <c r="T990" t="inlineStr">
        <is>
          <t xml:space="preserve">PQ </t>
        </is>
      </c>
      <c r="U990" t="n">
        <v>1</v>
      </c>
      <c r="V990" t="n">
        <v>2</v>
      </c>
      <c r="W990" t="inlineStr">
        <is>
          <t>2005-01-25</t>
        </is>
      </c>
      <c r="X990" t="inlineStr">
        <is>
          <t>2005-01-25</t>
        </is>
      </c>
      <c r="Y990" t="inlineStr">
        <is>
          <t>2005-01-25</t>
        </is>
      </c>
      <c r="Z990" t="inlineStr">
        <is>
          <t>2005-01-25</t>
        </is>
      </c>
      <c r="AA990" t="n">
        <v>65</v>
      </c>
      <c r="AB990" t="n">
        <v>61</v>
      </c>
      <c r="AC990" t="n">
        <v>63</v>
      </c>
      <c r="AD990" t="n">
        <v>2</v>
      </c>
      <c r="AE990" t="n">
        <v>2</v>
      </c>
      <c r="AF990" t="n">
        <v>3</v>
      </c>
      <c r="AG990" t="n">
        <v>3</v>
      </c>
      <c r="AH990" t="n">
        <v>0</v>
      </c>
      <c r="AI990" t="n">
        <v>0</v>
      </c>
      <c r="AJ990" t="n">
        <v>1</v>
      </c>
      <c r="AK990" t="n">
        <v>1</v>
      </c>
      <c r="AL990" t="n">
        <v>1</v>
      </c>
      <c r="AM990" t="n">
        <v>1</v>
      </c>
      <c r="AN990" t="n">
        <v>1</v>
      </c>
      <c r="AO990" t="n">
        <v>1</v>
      </c>
      <c r="AP990" t="n">
        <v>0</v>
      </c>
      <c r="AQ990" t="n">
        <v>0</v>
      </c>
      <c r="AR990" t="inlineStr">
        <is>
          <t>No</t>
        </is>
      </c>
      <c r="AS990" t="inlineStr">
        <is>
          <t>Yes</t>
        </is>
      </c>
      <c r="AT990">
        <f>HYPERLINK("http://catalog.hathitrust.org/Record/004941786","HathiTrust Record")</f>
        <v/>
      </c>
      <c r="AU990">
        <f>HYPERLINK("https://creighton-primo.hosted.exlibrisgroup.com/primo-explore/search?tab=default_tab&amp;search_scope=EVERYTHING&amp;vid=01CRU&amp;lang=en_US&amp;offset=0&amp;query=any,contains,991004460989702656","Catalog Record")</f>
        <v/>
      </c>
      <c r="AV990">
        <f>HYPERLINK("http://www.worldcat.org/oclc/56719691","WorldCat Record")</f>
        <v/>
      </c>
      <c r="AW990" t="inlineStr">
        <is>
          <t>57104747:spa</t>
        </is>
      </c>
      <c r="AX990" t="inlineStr">
        <is>
          <t>56719691</t>
        </is>
      </c>
      <c r="AY990" t="inlineStr">
        <is>
          <t>991004460989702656</t>
        </is>
      </c>
      <c r="AZ990" t="inlineStr">
        <is>
          <t>991004460989702656</t>
        </is>
      </c>
      <c r="BA990" t="inlineStr">
        <is>
          <t>2263378790002656</t>
        </is>
      </c>
      <c r="BB990" t="inlineStr">
        <is>
          <t>BOOK</t>
        </is>
      </c>
      <c r="BD990" t="inlineStr">
        <is>
          <t>9789993439257</t>
        </is>
      </c>
      <c r="BE990" t="inlineStr">
        <is>
          <t>32285005022834</t>
        </is>
      </c>
      <c r="BF990" t="inlineStr">
        <is>
          <t>893599858</t>
        </is>
      </c>
    </row>
    <row r="991">
      <c r="A991" t="inlineStr">
        <is>
          <t>No</t>
        </is>
      </c>
      <c r="B991" t="inlineStr">
        <is>
          <t>CURAL</t>
        </is>
      </c>
      <c r="C991" t="inlineStr">
        <is>
          <t>SHELVES</t>
        </is>
      </c>
      <c r="D991" t="inlineStr">
        <is>
          <t>PQ7407 .A58 2004</t>
        </is>
      </c>
      <c r="E991" t="inlineStr">
        <is>
          <t>0                      PQ 7407000A  58          2004</t>
        </is>
      </c>
      <c r="F991" t="inlineStr">
        <is>
          <t>Antología del teatro dominicano contemporáneo / L. Howard Quackenbush [compilador].</t>
        </is>
      </c>
      <c r="G991" t="inlineStr">
        <is>
          <t>V. 1</t>
        </is>
      </c>
      <c r="H991" t="inlineStr">
        <is>
          <t>Yes</t>
        </is>
      </c>
      <c r="I991" t="inlineStr">
        <is>
          <t>1</t>
        </is>
      </c>
      <c r="J991" t="inlineStr">
        <is>
          <t>No</t>
        </is>
      </c>
      <c r="K991" t="inlineStr">
        <is>
          <t>No</t>
        </is>
      </c>
      <c r="L991" t="inlineStr">
        <is>
          <t>0</t>
        </is>
      </c>
      <c r="N991" t="inlineStr">
        <is>
          <t>[Santo Domingo, República Dominicana] : Ediciones Librería La Trinitaria ; Provo, Utah : Brigham Young University, 2004.</t>
        </is>
      </c>
      <c r="O991" t="inlineStr">
        <is>
          <t>2004</t>
        </is>
      </c>
      <c r="P991" t="inlineStr">
        <is>
          <t>1. ed.</t>
        </is>
      </c>
      <c r="Q991" t="inlineStr">
        <is>
          <t>spa</t>
        </is>
      </c>
      <c r="R991" t="inlineStr">
        <is>
          <t xml:space="preserve">dr </t>
        </is>
      </c>
      <c r="T991" t="inlineStr">
        <is>
          <t xml:space="preserve">PQ </t>
        </is>
      </c>
      <c r="U991" t="n">
        <v>1</v>
      </c>
      <c r="V991" t="n">
        <v>2</v>
      </c>
      <c r="W991" t="inlineStr">
        <is>
          <t>2005-01-25</t>
        </is>
      </c>
      <c r="X991" t="inlineStr">
        <is>
          <t>2005-01-25</t>
        </is>
      </c>
      <c r="Y991" t="inlineStr">
        <is>
          <t>2005-01-25</t>
        </is>
      </c>
      <c r="Z991" t="inlineStr">
        <is>
          <t>2005-01-25</t>
        </is>
      </c>
      <c r="AA991" t="n">
        <v>65</v>
      </c>
      <c r="AB991" t="n">
        <v>61</v>
      </c>
      <c r="AC991" t="n">
        <v>63</v>
      </c>
      <c r="AD991" t="n">
        <v>2</v>
      </c>
      <c r="AE991" t="n">
        <v>2</v>
      </c>
      <c r="AF991" t="n">
        <v>3</v>
      </c>
      <c r="AG991" t="n">
        <v>3</v>
      </c>
      <c r="AH991" t="n">
        <v>0</v>
      </c>
      <c r="AI991" t="n">
        <v>0</v>
      </c>
      <c r="AJ991" t="n">
        <v>1</v>
      </c>
      <c r="AK991" t="n">
        <v>1</v>
      </c>
      <c r="AL991" t="n">
        <v>1</v>
      </c>
      <c r="AM991" t="n">
        <v>1</v>
      </c>
      <c r="AN991" t="n">
        <v>1</v>
      </c>
      <c r="AO991" t="n">
        <v>1</v>
      </c>
      <c r="AP991" t="n">
        <v>0</v>
      </c>
      <c r="AQ991" t="n">
        <v>0</v>
      </c>
      <c r="AR991" t="inlineStr">
        <is>
          <t>No</t>
        </is>
      </c>
      <c r="AS991" t="inlineStr">
        <is>
          <t>Yes</t>
        </is>
      </c>
      <c r="AT991">
        <f>HYPERLINK("http://catalog.hathitrust.org/Record/004941786","HathiTrust Record")</f>
        <v/>
      </c>
      <c r="AU991">
        <f>HYPERLINK("https://creighton-primo.hosted.exlibrisgroup.com/primo-explore/search?tab=default_tab&amp;search_scope=EVERYTHING&amp;vid=01CRU&amp;lang=en_US&amp;offset=0&amp;query=any,contains,991004460989702656","Catalog Record")</f>
        <v/>
      </c>
      <c r="AV991">
        <f>HYPERLINK("http://www.worldcat.org/oclc/56719691","WorldCat Record")</f>
        <v/>
      </c>
      <c r="AW991" t="inlineStr">
        <is>
          <t>57104747:spa</t>
        </is>
      </c>
      <c r="AX991" t="inlineStr">
        <is>
          <t>56719691</t>
        </is>
      </c>
      <c r="AY991" t="inlineStr">
        <is>
          <t>991004460989702656</t>
        </is>
      </c>
      <c r="AZ991" t="inlineStr">
        <is>
          <t>991004460989702656</t>
        </is>
      </c>
      <c r="BA991" t="inlineStr">
        <is>
          <t>2263378790002656</t>
        </is>
      </c>
      <c r="BB991" t="inlineStr">
        <is>
          <t>BOOK</t>
        </is>
      </c>
      <c r="BD991" t="inlineStr">
        <is>
          <t>9789993439257</t>
        </is>
      </c>
      <c r="BE991" t="inlineStr">
        <is>
          <t>32285005022826</t>
        </is>
      </c>
      <c r="BF991" t="inlineStr">
        <is>
          <t>893599859</t>
        </is>
      </c>
    </row>
    <row r="992">
      <c r="A992" t="inlineStr">
        <is>
          <t>No</t>
        </is>
      </c>
      <c r="B992" t="inlineStr">
        <is>
          <t>CURAL</t>
        </is>
      </c>
      <c r="C992" t="inlineStr">
        <is>
          <t>SHELVES</t>
        </is>
      </c>
      <c r="D992" t="inlineStr">
        <is>
          <t>PQ7409.2.A37 Z86 2002</t>
        </is>
      </c>
      <c r="E992" t="inlineStr">
        <is>
          <t>0                      PQ 7409200A  37                 Z  86          2002</t>
        </is>
      </c>
      <c r="F992" t="inlineStr">
        <is>
          <t>El enigma de las máscaras : la cuentísta de José Alcántara Almánzar / Nívea de Lourdes Torres Hernández.</t>
        </is>
      </c>
      <c r="H992" t="inlineStr">
        <is>
          <t>No</t>
        </is>
      </c>
      <c r="I992" t="inlineStr">
        <is>
          <t>1</t>
        </is>
      </c>
      <c r="J992" t="inlineStr">
        <is>
          <t>No</t>
        </is>
      </c>
      <c r="K992" t="inlineStr">
        <is>
          <t>No</t>
        </is>
      </c>
      <c r="L992" t="inlineStr">
        <is>
          <t>0</t>
        </is>
      </c>
      <c r="M992" t="inlineStr">
        <is>
          <t>Torres Hernández, Nívea de Lourdes.</t>
        </is>
      </c>
      <c r="N992" t="inlineStr">
        <is>
          <t>San Juan, P.R. : Isla Negra Editores, 2002.</t>
        </is>
      </c>
      <c r="O992" t="inlineStr">
        <is>
          <t>2002</t>
        </is>
      </c>
      <c r="Q992" t="inlineStr">
        <is>
          <t>spa</t>
        </is>
      </c>
      <c r="R992" t="inlineStr">
        <is>
          <t xml:space="preserve">pr </t>
        </is>
      </c>
      <c r="S992" t="inlineStr">
        <is>
          <t>Colección Visiones y cegueras</t>
        </is>
      </c>
      <c r="T992" t="inlineStr">
        <is>
          <t xml:space="preserve">PQ </t>
        </is>
      </c>
      <c r="U992" t="n">
        <v>1</v>
      </c>
      <c r="V992" t="n">
        <v>1</v>
      </c>
      <c r="W992" t="inlineStr">
        <is>
          <t>2004-01-13</t>
        </is>
      </c>
      <c r="X992" t="inlineStr">
        <is>
          <t>2004-01-13</t>
        </is>
      </c>
      <c r="Y992" t="inlineStr">
        <is>
          <t>2004-01-13</t>
        </is>
      </c>
      <c r="Z992" t="inlineStr">
        <is>
          <t>2004-01-13</t>
        </is>
      </c>
      <c r="AA992" t="n">
        <v>53</v>
      </c>
      <c r="AB992" t="n">
        <v>49</v>
      </c>
      <c r="AC992" t="n">
        <v>51</v>
      </c>
      <c r="AD992" t="n">
        <v>1</v>
      </c>
      <c r="AE992" t="n">
        <v>1</v>
      </c>
      <c r="AF992" t="n">
        <v>2</v>
      </c>
      <c r="AG992" t="n">
        <v>2</v>
      </c>
      <c r="AH992" t="n">
        <v>0</v>
      </c>
      <c r="AI992" t="n">
        <v>0</v>
      </c>
      <c r="AJ992" t="n">
        <v>2</v>
      </c>
      <c r="AK992" t="n">
        <v>2</v>
      </c>
      <c r="AL992" t="n">
        <v>1</v>
      </c>
      <c r="AM992" t="n">
        <v>1</v>
      </c>
      <c r="AN992" t="n">
        <v>0</v>
      </c>
      <c r="AO992" t="n">
        <v>0</v>
      </c>
      <c r="AP992" t="n">
        <v>0</v>
      </c>
      <c r="AQ992" t="n">
        <v>0</v>
      </c>
      <c r="AR992" t="inlineStr">
        <is>
          <t>No</t>
        </is>
      </c>
      <c r="AS992" t="inlineStr">
        <is>
          <t>No</t>
        </is>
      </c>
      <c r="AU992">
        <f>HYPERLINK("https://creighton-primo.hosted.exlibrisgroup.com/primo-explore/search?tab=default_tab&amp;search_scope=EVERYTHING&amp;vid=01CRU&amp;lang=en_US&amp;offset=0&amp;query=any,contains,991004208769702656","Catalog Record")</f>
        <v/>
      </c>
      <c r="AV992">
        <f>HYPERLINK("http://www.worldcat.org/oclc/50786459","WorldCat Record")</f>
        <v/>
      </c>
      <c r="AW992" t="inlineStr">
        <is>
          <t>351558667:spa</t>
        </is>
      </c>
      <c r="AX992" t="inlineStr">
        <is>
          <t>50786459</t>
        </is>
      </c>
      <c r="AY992" t="inlineStr">
        <is>
          <t>991004208769702656</t>
        </is>
      </c>
      <c r="AZ992" t="inlineStr">
        <is>
          <t>991004208769702656</t>
        </is>
      </c>
      <c r="BA992" t="inlineStr">
        <is>
          <t>2263924000002656</t>
        </is>
      </c>
      <c r="BB992" t="inlineStr">
        <is>
          <t>BOOK</t>
        </is>
      </c>
      <c r="BD992" t="inlineStr">
        <is>
          <t>9781881715931</t>
        </is>
      </c>
      <c r="BE992" t="inlineStr">
        <is>
          <t>32285004633797</t>
        </is>
      </c>
      <c r="BF992" t="inlineStr">
        <is>
          <t>893235192</t>
        </is>
      </c>
    </row>
    <row r="993">
      <c r="A993" t="inlineStr">
        <is>
          <t>No</t>
        </is>
      </c>
      <c r="B993" t="inlineStr">
        <is>
          <t>CURAL</t>
        </is>
      </c>
      <c r="C993" t="inlineStr">
        <is>
          <t>SHELVES</t>
        </is>
      </c>
      <c r="D993" t="inlineStr">
        <is>
          <t>PQ7409.2.C47 A78 2001</t>
        </is>
      </c>
      <c r="E993" t="inlineStr">
        <is>
          <t>0                      PQ 7409200C  47                 A  78          2001</t>
        </is>
      </c>
      <c r="F993" t="inlineStr">
        <is>
          <t>Al arma contra figuraciones : (poemas) / Diógenes Céspedes.</t>
        </is>
      </c>
      <c r="H993" t="inlineStr">
        <is>
          <t>No</t>
        </is>
      </c>
      <c r="I993" t="inlineStr">
        <is>
          <t>1</t>
        </is>
      </c>
      <c r="J993" t="inlineStr">
        <is>
          <t>No</t>
        </is>
      </c>
      <c r="K993" t="inlineStr">
        <is>
          <t>No</t>
        </is>
      </c>
      <c r="L993" t="inlineStr">
        <is>
          <t>0</t>
        </is>
      </c>
      <c r="M993" t="inlineStr">
        <is>
          <t>Céspedes, Diógenes.</t>
        </is>
      </c>
      <c r="N993" t="inlineStr">
        <is>
          <t>Santo Domingo, R.D. : Ediciones Librería La Trinitaria, 2001.</t>
        </is>
      </c>
      <c r="O993" t="inlineStr">
        <is>
          <t>2001</t>
        </is>
      </c>
      <c r="Q993" t="inlineStr">
        <is>
          <t>spa</t>
        </is>
      </c>
      <c r="R993" t="inlineStr">
        <is>
          <t xml:space="preserve">dr </t>
        </is>
      </c>
      <c r="T993" t="inlineStr">
        <is>
          <t xml:space="preserve">PQ </t>
        </is>
      </c>
      <c r="U993" t="n">
        <v>1</v>
      </c>
      <c r="V993" t="n">
        <v>1</v>
      </c>
      <c r="W993" t="inlineStr">
        <is>
          <t>2003-01-06</t>
        </is>
      </c>
      <c r="X993" t="inlineStr">
        <is>
          <t>2003-01-06</t>
        </is>
      </c>
      <c r="Y993" t="inlineStr">
        <is>
          <t>2003-01-06</t>
        </is>
      </c>
      <c r="Z993" t="inlineStr">
        <is>
          <t>2003-01-06</t>
        </is>
      </c>
      <c r="AA993" t="n">
        <v>32</v>
      </c>
      <c r="AB993" t="n">
        <v>30</v>
      </c>
      <c r="AC993" t="n">
        <v>33</v>
      </c>
      <c r="AD993" t="n">
        <v>1</v>
      </c>
      <c r="AE993" t="n">
        <v>1</v>
      </c>
      <c r="AF993" t="n">
        <v>2</v>
      </c>
      <c r="AG993" t="n">
        <v>2</v>
      </c>
      <c r="AH993" t="n">
        <v>0</v>
      </c>
      <c r="AI993" t="n">
        <v>0</v>
      </c>
      <c r="AJ993" t="n">
        <v>2</v>
      </c>
      <c r="AK993" t="n">
        <v>2</v>
      </c>
      <c r="AL993" t="n">
        <v>1</v>
      </c>
      <c r="AM993" t="n">
        <v>1</v>
      </c>
      <c r="AN993" t="n">
        <v>0</v>
      </c>
      <c r="AO993" t="n">
        <v>0</v>
      </c>
      <c r="AP993" t="n">
        <v>0</v>
      </c>
      <c r="AQ993" t="n">
        <v>0</v>
      </c>
      <c r="AR993" t="inlineStr">
        <is>
          <t>No</t>
        </is>
      </c>
      <c r="AS993" t="inlineStr">
        <is>
          <t>Yes</t>
        </is>
      </c>
      <c r="AT993">
        <f>HYPERLINK("http://catalog.hathitrust.org/Record/007436921","HathiTrust Record")</f>
        <v/>
      </c>
      <c r="AU993">
        <f>HYPERLINK("https://creighton-primo.hosted.exlibrisgroup.com/primo-explore/search?tab=default_tab&amp;search_scope=EVERYTHING&amp;vid=01CRU&amp;lang=en_US&amp;offset=0&amp;query=any,contains,991003963879702656","Catalog Record")</f>
        <v/>
      </c>
      <c r="AV993">
        <f>HYPERLINK("http://www.worldcat.org/oclc/50949331","WorldCat Record")</f>
        <v/>
      </c>
      <c r="AW993" t="inlineStr">
        <is>
          <t>8626631:spa</t>
        </is>
      </c>
      <c r="AX993" t="inlineStr">
        <is>
          <t>50949331</t>
        </is>
      </c>
      <c r="AY993" t="inlineStr">
        <is>
          <t>991003963879702656</t>
        </is>
      </c>
      <c r="AZ993" t="inlineStr">
        <is>
          <t>991003963879702656</t>
        </is>
      </c>
      <c r="BA993" t="inlineStr">
        <is>
          <t>2272358470002656</t>
        </is>
      </c>
      <c r="BB993" t="inlineStr">
        <is>
          <t>BOOK</t>
        </is>
      </c>
      <c r="BD993" t="inlineStr">
        <is>
          <t>9789993439097</t>
        </is>
      </c>
      <c r="BE993" t="inlineStr">
        <is>
          <t>32285004691233</t>
        </is>
      </c>
      <c r="BF993" t="inlineStr">
        <is>
          <t>893800415</t>
        </is>
      </c>
    </row>
    <row r="994">
      <c r="A994" t="inlineStr">
        <is>
          <t>No</t>
        </is>
      </c>
      <c r="B994" t="inlineStr">
        <is>
          <t>CURAL</t>
        </is>
      </c>
      <c r="C994" t="inlineStr">
        <is>
          <t>SHELVES</t>
        </is>
      </c>
      <c r="D994" t="inlineStr">
        <is>
          <t>PQ7409.2.D58 B6 2000</t>
        </is>
      </c>
      <c r="E994" t="inlineStr">
        <is>
          <t>0                      PQ 7409200D  58                 B  6           2000</t>
        </is>
      </c>
      <c r="F994" t="inlineStr">
        <is>
          <t>Bolo Francisco : teatro / Reynaldo Disla.</t>
        </is>
      </c>
      <c r="H994" t="inlineStr">
        <is>
          <t>No</t>
        </is>
      </c>
      <c r="I994" t="inlineStr">
        <is>
          <t>1</t>
        </is>
      </c>
      <c r="J994" t="inlineStr">
        <is>
          <t>No</t>
        </is>
      </c>
      <c r="K994" t="inlineStr">
        <is>
          <t>No</t>
        </is>
      </c>
      <c r="L994" t="inlineStr">
        <is>
          <t>0</t>
        </is>
      </c>
      <c r="M994" t="inlineStr">
        <is>
          <t>Disla, Reynaldo, 1956-</t>
        </is>
      </c>
      <c r="N994" t="inlineStr">
        <is>
          <t>Santo Domingo, República Dominicana : Biblioteca Nacional de la República Dominicana, 2000.</t>
        </is>
      </c>
      <c r="O994" t="inlineStr">
        <is>
          <t>2000</t>
        </is>
      </c>
      <c r="P994" t="inlineStr">
        <is>
          <t>2. ed.</t>
        </is>
      </c>
      <c r="Q994" t="inlineStr">
        <is>
          <t>spa</t>
        </is>
      </c>
      <c r="R994" t="inlineStr">
        <is>
          <t xml:space="preserve">dr </t>
        </is>
      </c>
      <c r="S994" t="inlineStr">
        <is>
          <t>Colección de la Biblioteca Nacional de la República Dominicana. Serie teatro</t>
        </is>
      </c>
      <c r="T994" t="inlineStr">
        <is>
          <t xml:space="preserve">PQ </t>
        </is>
      </c>
      <c r="U994" t="n">
        <v>2</v>
      </c>
      <c r="V994" t="n">
        <v>2</v>
      </c>
      <c r="W994" t="inlineStr">
        <is>
          <t>2001-05-16</t>
        </is>
      </c>
      <c r="X994" t="inlineStr">
        <is>
          <t>2001-05-16</t>
        </is>
      </c>
      <c r="Y994" t="inlineStr">
        <is>
          <t>2001-04-11</t>
        </is>
      </c>
      <c r="Z994" t="inlineStr">
        <is>
          <t>2001-04-11</t>
        </is>
      </c>
      <c r="AA994" t="n">
        <v>26</v>
      </c>
      <c r="AB994" t="n">
        <v>26</v>
      </c>
      <c r="AC994" t="n">
        <v>69</v>
      </c>
      <c r="AD994" t="n">
        <v>1</v>
      </c>
      <c r="AE994" t="n">
        <v>1</v>
      </c>
      <c r="AF994" t="n">
        <v>1</v>
      </c>
      <c r="AG994" t="n">
        <v>2</v>
      </c>
      <c r="AH994" t="n">
        <v>0</v>
      </c>
      <c r="AI994" t="n">
        <v>0</v>
      </c>
      <c r="AJ994" t="n">
        <v>1</v>
      </c>
      <c r="AK994" t="n">
        <v>2</v>
      </c>
      <c r="AL994" t="n">
        <v>0</v>
      </c>
      <c r="AM994" t="n">
        <v>0</v>
      </c>
      <c r="AN994" t="n">
        <v>0</v>
      </c>
      <c r="AO994" t="n">
        <v>0</v>
      </c>
      <c r="AP994" t="n">
        <v>0</v>
      </c>
      <c r="AQ994" t="n">
        <v>0</v>
      </c>
      <c r="AR994" t="inlineStr">
        <is>
          <t>No</t>
        </is>
      </c>
      <c r="AS994" t="inlineStr">
        <is>
          <t>Yes</t>
        </is>
      </c>
      <c r="AT994">
        <f>HYPERLINK("http://catalog.hathitrust.org/Record/010593000","HathiTrust Record")</f>
        <v/>
      </c>
      <c r="AU994">
        <f>HYPERLINK("https://creighton-primo.hosted.exlibrisgroup.com/primo-explore/search?tab=default_tab&amp;search_scope=EVERYTHING&amp;vid=01CRU&amp;lang=en_US&amp;offset=0&amp;query=any,contains,991003288049702656","Catalog Record")</f>
        <v/>
      </c>
      <c r="AV994">
        <f>HYPERLINK("http://www.worldcat.org/oclc/45862708","WorldCat Record")</f>
        <v/>
      </c>
      <c r="AW994" t="inlineStr">
        <is>
          <t>2287717611:spa</t>
        </is>
      </c>
      <c r="AX994" t="inlineStr">
        <is>
          <t>45862708</t>
        </is>
      </c>
      <c r="AY994" t="inlineStr">
        <is>
          <t>991003288049702656</t>
        </is>
      </c>
      <c r="AZ994" t="inlineStr">
        <is>
          <t>991003288049702656</t>
        </is>
      </c>
      <c r="BA994" t="inlineStr">
        <is>
          <t>2254941480002656</t>
        </is>
      </c>
      <c r="BB994" t="inlineStr">
        <is>
          <t>BOOK</t>
        </is>
      </c>
      <c r="BE994" t="inlineStr">
        <is>
          <t>32285004312012</t>
        </is>
      </c>
      <c r="BF994" t="inlineStr">
        <is>
          <t>893258266</t>
        </is>
      </c>
    </row>
    <row r="995">
      <c r="A995" t="inlineStr">
        <is>
          <t>No</t>
        </is>
      </c>
      <c r="B995" t="inlineStr">
        <is>
          <t>CURAL</t>
        </is>
      </c>
      <c r="C995" t="inlineStr">
        <is>
          <t>SHELVES</t>
        </is>
      </c>
      <c r="D995" t="inlineStr">
        <is>
          <t>PQ7409.2.G22 O76 1999</t>
        </is>
      </c>
      <c r="E995" t="inlineStr">
        <is>
          <t>0                      PQ 7409200G  22                 O  76          1999</t>
        </is>
      </c>
      <c r="F995" t="inlineStr">
        <is>
          <t>Oro, sulfuro y muerte / Mélida García.</t>
        </is>
      </c>
      <c r="H995" t="inlineStr">
        <is>
          <t>No</t>
        </is>
      </c>
      <c r="I995" t="inlineStr">
        <is>
          <t>1</t>
        </is>
      </c>
      <c r="J995" t="inlineStr">
        <is>
          <t>No</t>
        </is>
      </c>
      <c r="K995" t="inlineStr">
        <is>
          <t>No</t>
        </is>
      </c>
      <c r="L995" t="inlineStr">
        <is>
          <t>0</t>
        </is>
      </c>
      <c r="M995" t="inlineStr">
        <is>
          <t>García, Mélida, 1956-2005.</t>
        </is>
      </c>
      <c r="N995" t="inlineStr">
        <is>
          <t>Santo Domingo, República Dominicana : Editora Manatí, 1999.</t>
        </is>
      </c>
      <c r="O995" t="inlineStr">
        <is>
          <t>1999</t>
        </is>
      </c>
      <c r="Q995" t="inlineStr">
        <is>
          <t>spa</t>
        </is>
      </c>
      <c r="R995" t="inlineStr">
        <is>
          <t xml:space="preserve">dr </t>
        </is>
      </c>
      <c r="S995" t="inlineStr">
        <is>
          <t>Serie Literatura caribeña</t>
        </is>
      </c>
      <c r="T995" t="inlineStr">
        <is>
          <t xml:space="preserve">PQ </t>
        </is>
      </c>
      <c r="U995" t="n">
        <v>1</v>
      </c>
      <c r="V995" t="n">
        <v>1</v>
      </c>
      <c r="W995" t="inlineStr">
        <is>
          <t>2000-11-28</t>
        </is>
      </c>
      <c r="X995" t="inlineStr">
        <is>
          <t>2000-11-28</t>
        </is>
      </c>
      <c r="Y995" t="inlineStr">
        <is>
          <t>2000-11-28</t>
        </is>
      </c>
      <c r="Z995" t="inlineStr">
        <is>
          <t>2000-11-28</t>
        </is>
      </c>
      <c r="AA995" t="n">
        <v>29</v>
      </c>
      <c r="AB995" t="n">
        <v>28</v>
      </c>
      <c r="AC995" t="n">
        <v>32</v>
      </c>
      <c r="AD995" t="n">
        <v>1</v>
      </c>
      <c r="AE995" t="n">
        <v>1</v>
      </c>
      <c r="AF995" t="n">
        <v>2</v>
      </c>
      <c r="AG995" t="n">
        <v>2</v>
      </c>
      <c r="AH995" t="n">
        <v>0</v>
      </c>
      <c r="AI995" t="n">
        <v>0</v>
      </c>
      <c r="AJ995" t="n">
        <v>1</v>
      </c>
      <c r="AK995" t="n">
        <v>1</v>
      </c>
      <c r="AL995" t="n">
        <v>1</v>
      </c>
      <c r="AM995" t="n">
        <v>1</v>
      </c>
      <c r="AN995" t="n">
        <v>0</v>
      </c>
      <c r="AO995" t="n">
        <v>0</v>
      </c>
      <c r="AP995" t="n">
        <v>0</v>
      </c>
      <c r="AQ995" t="n">
        <v>0</v>
      </c>
      <c r="AR995" t="inlineStr">
        <is>
          <t>No</t>
        </is>
      </c>
      <c r="AS995" t="inlineStr">
        <is>
          <t>Yes</t>
        </is>
      </c>
      <c r="AT995">
        <f>HYPERLINK("http://catalog.hathitrust.org/Record/101105022","HathiTrust Record")</f>
        <v/>
      </c>
      <c r="AU995">
        <f>HYPERLINK("https://creighton-primo.hosted.exlibrisgroup.com/primo-explore/search?tab=default_tab&amp;search_scope=EVERYTHING&amp;vid=01CRU&amp;lang=en_US&amp;offset=0&amp;query=any,contains,991003246549702656","Catalog Record")</f>
        <v/>
      </c>
      <c r="AV995">
        <f>HYPERLINK("http://www.worldcat.org/oclc/44174377","WorldCat Record")</f>
        <v/>
      </c>
      <c r="AW995" t="inlineStr">
        <is>
          <t>14354858:spa</t>
        </is>
      </c>
      <c r="AX995" t="inlineStr">
        <is>
          <t>44174377</t>
        </is>
      </c>
      <c r="AY995" t="inlineStr">
        <is>
          <t>991003246549702656</t>
        </is>
      </c>
      <c r="AZ995" t="inlineStr">
        <is>
          <t>991003246549702656</t>
        </is>
      </c>
      <c r="BA995" t="inlineStr">
        <is>
          <t>2259058760002656</t>
        </is>
      </c>
      <c r="BB995" t="inlineStr">
        <is>
          <t>BOOK</t>
        </is>
      </c>
      <c r="BD995" t="inlineStr">
        <is>
          <t>9789993480013</t>
        </is>
      </c>
      <c r="BE995" t="inlineStr">
        <is>
          <t>32285004267455</t>
        </is>
      </c>
      <c r="BF995" t="inlineStr">
        <is>
          <t>893518290</t>
        </is>
      </c>
    </row>
    <row r="996">
      <c r="A996" t="inlineStr">
        <is>
          <t>No</t>
        </is>
      </c>
      <c r="B996" t="inlineStr">
        <is>
          <t>CURAL</t>
        </is>
      </c>
      <c r="C996" t="inlineStr">
        <is>
          <t>SHELVES</t>
        </is>
      </c>
      <c r="D996" t="inlineStr">
        <is>
          <t>PQ7409.2.H65 A45 2000</t>
        </is>
      </c>
      <c r="E996" t="inlineStr">
        <is>
          <t>0                      PQ 7409200H  65                 A  45          2000</t>
        </is>
      </c>
      <c r="F996" t="inlineStr">
        <is>
          <t>Al pie de la escalera / Miguel Holguín-Veras.</t>
        </is>
      </c>
      <c r="H996" t="inlineStr">
        <is>
          <t>No</t>
        </is>
      </c>
      <c r="I996" t="inlineStr">
        <is>
          <t>1</t>
        </is>
      </c>
      <c r="J996" t="inlineStr">
        <is>
          <t>No</t>
        </is>
      </c>
      <c r="K996" t="inlineStr">
        <is>
          <t>No</t>
        </is>
      </c>
      <c r="L996" t="inlineStr">
        <is>
          <t>0</t>
        </is>
      </c>
      <c r="M996" t="inlineStr">
        <is>
          <t>Holguín Veras, Miguel A.</t>
        </is>
      </c>
      <c r="N996" t="inlineStr">
        <is>
          <t>Santo Domingo, República Dominicana : Editora Cole, c2000.</t>
        </is>
      </c>
      <c r="O996" t="inlineStr">
        <is>
          <t>2000</t>
        </is>
      </c>
      <c r="Q996" t="inlineStr">
        <is>
          <t>spa</t>
        </is>
      </c>
      <c r="R996" t="inlineStr">
        <is>
          <t xml:space="preserve">dr </t>
        </is>
      </c>
      <c r="T996" t="inlineStr">
        <is>
          <t xml:space="preserve">PQ </t>
        </is>
      </c>
      <c r="U996" t="n">
        <v>1</v>
      </c>
      <c r="V996" t="n">
        <v>1</v>
      </c>
      <c r="W996" t="inlineStr">
        <is>
          <t>2000-08-29</t>
        </is>
      </c>
      <c r="X996" t="inlineStr">
        <is>
          <t>2000-08-29</t>
        </is>
      </c>
      <c r="Y996" t="inlineStr">
        <is>
          <t>2000-08-29</t>
        </is>
      </c>
      <c r="Z996" t="inlineStr">
        <is>
          <t>2000-08-29</t>
        </is>
      </c>
      <c r="AA996" t="n">
        <v>26</v>
      </c>
      <c r="AB996" t="n">
        <v>26</v>
      </c>
      <c r="AC996" t="n">
        <v>29</v>
      </c>
      <c r="AD996" t="n">
        <v>1</v>
      </c>
      <c r="AE996" t="n">
        <v>1</v>
      </c>
      <c r="AF996" t="n">
        <v>2</v>
      </c>
      <c r="AG996" t="n">
        <v>2</v>
      </c>
      <c r="AH996" t="n">
        <v>0</v>
      </c>
      <c r="AI996" t="n">
        <v>0</v>
      </c>
      <c r="AJ996" t="n">
        <v>1</v>
      </c>
      <c r="AK996" t="n">
        <v>1</v>
      </c>
      <c r="AL996" t="n">
        <v>1</v>
      </c>
      <c r="AM996" t="n">
        <v>1</v>
      </c>
      <c r="AN996" t="n">
        <v>0</v>
      </c>
      <c r="AO996" t="n">
        <v>0</v>
      </c>
      <c r="AP996" t="n">
        <v>0</v>
      </c>
      <c r="AQ996" t="n">
        <v>0</v>
      </c>
      <c r="AR996" t="inlineStr">
        <is>
          <t>No</t>
        </is>
      </c>
      <c r="AS996" t="inlineStr">
        <is>
          <t>Yes</t>
        </is>
      </c>
      <c r="AT996">
        <f>HYPERLINK("http://catalog.hathitrust.org/Record/004102083","HathiTrust Record")</f>
        <v/>
      </c>
      <c r="AU996">
        <f>HYPERLINK("https://creighton-primo.hosted.exlibrisgroup.com/primo-explore/search?tab=default_tab&amp;search_scope=EVERYTHING&amp;vid=01CRU&amp;lang=en_US&amp;offset=0&amp;query=any,contains,991003248539702656","Catalog Record")</f>
        <v/>
      </c>
      <c r="AV996">
        <f>HYPERLINK("http://www.worldcat.org/oclc/44647772","WorldCat Record")</f>
        <v/>
      </c>
      <c r="AW996" t="inlineStr">
        <is>
          <t>3943766981:spa</t>
        </is>
      </c>
      <c r="AX996" t="inlineStr">
        <is>
          <t>44647772</t>
        </is>
      </c>
      <c r="AY996" t="inlineStr">
        <is>
          <t>991003248539702656</t>
        </is>
      </c>
      <c r="AZ996" t="inlineStr">
        <is>
          <t>991003248539702656</t>
        </is>
      </c>
      <c r="BA996" t="inlineStr">
        <is>
          <t>2263993810002656</t>
        </is>
      </c>
      <c r="BB996" t="inlineStr">
        <is>
          <t>BOOK</t>
        </is>
      </c>
      <c r="BD996" t="inlineStr">
        <is>
          <t>9789993432012</t>
        </is>
      </c>
      <c r="BE996" t="inlineStr">
        <is>
          <t>32285003759999</t>
        </is>
      </c>
      <c r="BF996" t="inlineStr">
        <is>
          <t>893686359</t>
        </is>
      </c>
    </row>
    <row r="997">
      <c r="A997" t="inlineStr">
        <is>
          <t>No</t>
        </is>
      </c>
      <c r="B997" t="inlineStr">
        <is>
          <t>CURAL</t>
        </is>
      </c>
      <c r="C997" t="inlineStr">
        <is>
          <t>SHELVES</t>
        </is>
      </c>
      <c r="D997" t="inlineStr">
        <is>
          <t>PQ7409.2.M255 P53 2004</t>
        </is>
      </c>
      <c r="E997" t="inlineStr">
        <is>
          <t>0                      PQ 7409200M  255                P  53          2004</t>
        </is>
      </c>
      <c r="F997" t="inlineStr">
        <is>
          <t>El placer de lo nimio / José Mármol.</t>
        </is>
      </c>
      <c r="H997" t="inlineStr">
        <is>
          <t>No</t>
        </is>
      </c>
      <c r="I997" t="inlineStr">
        <is>
          <t>1</t>
        </is>
      </c>
      <c r="J997" t="inlineStr">
        <is>
          <t>No</t>
        </is>
      </c>
      <c r="K997" t="inlineStr">
        <is>
          <t>No</t>
        </is>
      </c>
      <c r="L997" t="inlineStr">
        <is>
          <t>0</t>
        </is>
      </c>
      <c r="M997" t="inlineStr">
        <is>
          <t>Mármol, José, 1960-</t>
        </is>
      </c>
      <c r="N997" t="inlineStr">
        <is>
          <t>Santo Domingo, R.D. : Editorial Letra Gráfica, c2004.</t>
        </is>
      </c>
      <c r="O997" t="inlineStr">
        <is>
          <t>2004</t>
        </is>
      </c>
      <c r="Q997" t="inlineStr">
        <is>
          <t>spa</t>
        </is>
      </c>
      <c r="R997" t="inlineStr">
        <is>
          <t xml:space="preserve">dr </t>
        </is>
      </c>
      <c r="T997" t="inlineStr">
        <is>
          <t xml:space="preserve">PQ </t>
        </is>
      </c>
      <c r="U997" t="n">
        <v>1</v>
      </c>
      <c r="V997" t="n">
        <v>1</v>
      </c>
      <c r="W997" t="inlineStr">
        <is>
          <t>2005-04-18</t>
        </is>
      </c>
      <c r="X997" t="inlineStr">
        <is>
          <t>2005-04-18</t>
        </is>
      </c>
      <c r="Y997" t="inlineStr">
        <is>
          <t>2005-04-18</t>
        </is>
      </c>
      <c r="Z997" t="inlineStr">
        <is>
          <t>2005-04-18</t>
        </is>
      </c>
      <c r="AA997" t="n">
        <v>40</v>
      </c>
      <c r="AB997" t="n">
        <v>35</v>
      </c>
      <c r="AC997" t="n">
        <v>38</v>
      </c>
      <c r="AD997" t="n">
        <v>1</v>
      </c>
      <c r="AE997" t="n">
        <v>1</v>
      </c>
      <c r="AF997" t="n">
        <v>2</v>
      </c>
      <c r="AG997" t="n">
        <v>2</v>
      </c>
      <c r="AH997" t="n">
        <v>0</v>
      </c>
      <c r="AI997" t="n">
        <v>0</v>
      </c>
      <c r="AJ997" t="n">
        <v>2</v>
      </c>
      <c r="AK997" t="n">
        <v>2</v>
      </c>
      <c r="AL997" t="n">
        <v>1</v>
      </c>
      <c r="AM997" t="n">
        <v>1</v>
      </c>
      <c r="AN997" t="n">
        <v>0</v>
      </c>
      <c r="AO997" t="n">
        <v>0</v>
      </c>
      <c r="AP997" t="n">
        <v>0</v>
      </c>
      <c r="AQ997" t="n">
        <v>0</v>
      </c>
      <c r="AR997" t="inlineStr">
        <is>
          <t>No</t>
        </is>
      </c>
      <c r="AS997" t="inlineStr">
        <is>
          <t>Yes</t>
        </is>
      </c>
      <c r="AT997">
        <f>HYPERLINK("http://catalog.hathitrust.org/Record/005103900","HathiTrust Record")</f>
        <v/>
      </c>
      <c r="AU997">
        <f>HYPERLINK("https://creighton-primo.hosted.exlibrisgroup.com/primo-explore/search?tab=default_tab&amp;search_scope=EVERYTHING&amp;vid=01CRU&amp;lang=en_US&amp;offset=0&amp;query=any,contains,991004460609702656","Catalog Record")</f>
        <v/>
      </c>
      <c r="AV997">
        <f>HYPERLINK("http://www.worldcat.org/oclc/58553857","WorldCat Record")</f>
        <v/>
      </c>
      <c r="AW997" t="inlineStr">
        <is>
          <t>368728503:spa</t>
        </is>
      </c>
      <c r="AX997" t="inlineStr">
        <is>
          <t>58553857</t>
        </is>
      </c>
      <c r="AY997" t="inlineStr">
        <is>
          <t>991004460609702656</t>
        </is>
      </c>
      <c r="AZ997" t="inlineStr">
        <is>
          <t>991004460609702656</t>
        </is>
      </c>
      <c r="BA997" t="inlineStr">
        <is>
          <t>2262197440002656</t>
        </is>
      </c>
      <c r="BB997" t="inlineStr">
        <is>
          <t>BOOK</t>
        </is>
      </c>
      <c r="BE997" t="inlineStr">
        <is>
          <t>32285005031082</t>
        </is>
      </c>
      <c r="BF997" t="inlineStr">
        <is>
          <t>893782269</t>
        </is>
      </c>
    </row>
    <row r="998">
      <c r="A998" t="inlineStr">
        <is>
          <t>No</t>
        </is>
      </c>
      <c r="B998" t="inlineStr">
        <is>
          <t>CURAL</t>
        </is>
      </c>
      <c r="C998" t="inlineStr">
        <is>
          <t>SHELVES</t>
        </is>
      </c>
      <c r="D998" t="inlineStr">
        <is>
          <t>PQ7409.2.M255 P74 1999</t>
        </is>
      </c>
      <c r="E998" t="inlineStr">
        <is>
          <t>0                      PQ 7409200M  255                P  74          1999</t>
        </is>
      </c>
      <c r="F998" t="inlineStr">
        <is>
          <t>Premisas para morir : aforismos y fragmentos / José Mármol.</t>
        </is>
      </c>
      <c r="H998" t="inlineStr">
        <is>
          <t>No</t>
        </is>
      </c>
      <c r="I998" t="inlineStr">
        <is>
          <t>1</t>
        </is>
      </c>
      <c r="J998" t="inlineStr">
        <is>
          <t>No</t>
        </is>
      </c>
      <c r="K998" t="inlineStr">
        <is>
          <t>No</t>
        </is>
      </c>
      <c r="L998" t="inlineStr">
        <is>
          <t>0</t>
        </is>
      </c>
      <c r="M998" t="inlineStr">
        <is>
          <t>Mármol, José, 1960-</t>
        </is>
      </c>
      <c r="N998" t="inlineStr">
        <is>
          <t>Santo Domingo, R.D. : Editora Amigo del Hogar, 1999.</t>
        </is>
      </c>
      <c r="O998" t="inlineStr">
        <is>
          <t>1999</t>
        </is>
      </c>
      <c r="P998" t="inlineStr">
        <is>
          <t>1. ed.</t>
        </is>
      </c>
      <c r="Q998" t="inlineStr">
        <is>
          <t>spa</t>
        </is>
      </c>
      <c r="R998" t="inlineStr">
        <is>
          <t xml:space="preserve">dr </t>
        </is>
      </c>
      <c r="T998" t="inlineStr">
        <is>
          <t xml:space="preserve">PQ </t>
        </is>
      </c>
      <c r="U998" t="n">
        <v>2</v>
      </c>
      <c r="V998" t="n">
        <v>2</v>
      </c>
      <c r="W998" t="inlineStr">
        <is>
          <t>2000-08-23</t>
        </is>
      </c>
      <c r="X998" t="inlineStr">
        <is>
          <t>2000-08-23</t>
        </is>
      </c>
      <c r="Y998" t="inlineStr">
        <is>
          <t>2000-08-15</t>
        </is>
      </c>
      <c r="Z998" t="inlineStr">
        <is>
          <t>2000-08-15</t>
        </is>
      </c>
      <c r="AA998" t="n">
        <v>29</v>
      </c>
      <c r="AB998" t="n">
        <v>27</v>
      </c>
      <c r="AC998" t="n">
        <v>29</v>
      </c>
      <c r="AD998" t="n">
        <v>1</v>
      </c>
      <c r="AE998" t="n">
        <v>1</v>
      </c>
      <c r="AF998" t="n">
        <v>2</v>
      </c>
      <c r="AG998" t="n">
        <v>2</v>
      </c>
      <c r="AH998" t="n">
        <v>0</v>
      </c>
      <c r="AI998" t="n">
        <v>0</v>
      </c>
      <c r="AJ998" t="n">
        <v>1</v>
      </c>
      <c r="AK998" t="n">
        <v>1</v>
      </c>
      <c r="AL998" t="n">
        <v>1</v>
      </c>
      <c r="AM998" t="n">
        <v>1</v>
      </c>
      <c r="AN998" t="n">
        <v>0</v>
      </c>
      <c r="AO998" t="n">
        <v>0</v>
      </c>
      <c r="AP998" t="n">
        <v>0</v>
      </c>
      <c r="AQ998" t="n">
        <v>0</v>
      </c>
      <c r="AR998" t="inlineStr">
        <is>
          <t>No</t>
        </is>
      </c>
      <c r="AS998" t="inlineStr">
        <is>
          <t>Yes</t>
        </is>
      </c>
      <c r="AT998">
        <f>HYPERLINK("http://catalog.hathitrust.org/Record/004102058","HathiTrust Record")</f>
        <v/>
      </c>
      <c r="AU998">
        <f>HYPERLINK("https://creighton-primo.hosted.exlibrisgroup.com/primo-explore/search?tab=default_tab&amp;search_scope=EVERYTHING&amp;vid=01CRU&amp;lang=en_US&amp;offset=0&amp;query=any,contains,991003246989702656","Catalog Record")</f>
        <v/>
      </c>
      <c r="AV998">
        <f>HYPERLINK("http://www.worldcat.org/oclc/44270521","WorldCat Record")</f>
        <v/>
      </c>
      <c r="AW998" t="inlineStr">
        <is>
          <t>33267604:spa</t>
        </is>
      </c>
      <c r="AX998" t="inlineStr">
        <is>
          <t>44270521</t>
        </is>
      </c>
      <c r="AY998" t="inlineStr">
        <is>
          <t>991003246989702656</t>
        </is>
      </c>
      <c r="AZ998" t="inlineStr">
        <is>
          <t>991003246989702656</t>
        </is>
      </c>
      <c r="BA998" t="inlineStr">
        <is>
          <t>2263347120002656</t>
        </is>
      </c>
      <c r="BB998" t="inlineStr">
        <is>
          <t>BOOK</t>
        </is>
      </c>
      <c r="BD998" t="inlineStr">
        <is>
          <t>9789993410010</t>
        </is>
      </c>
      <c r="BE998" t="inlineStr">
        <is>
          <t>32285003757704</t>
        </is>
      </c>
      <c r="BF998" t="inlineStr">
        <is>
          <t>893623299</t>
        </is>
      </c>
    </row>
    <row r="999">
      <c r="A999" t="inlineStr">
        <is>
          <t>No</t>
        </is>
      </c>
      <c r="B999" t="inlineStr">
        <is>
          <t>CURAL</t>
        </is>
      </c>
      <c r="C999" t="inlineStr">
        <is>
          <t>SHELVES</t>
        </is>
      </c>
      <c r="D999" t="inlineStr">
        <is>
          <t>PQ7409.2.R56 T5413 2004</t>
        </is>
      </c>
      <c r="E999" t="inlineStr">
        <is>
          <t>0                      PQ 7409200R  56                 T  5413        2004</t>
        </is>
      </c>
      <c r="F999" t="inlineStr">
        <is>
          <t>Of forgotten times / by Marisela Rizik ; translated by Isabel Z. Brown.</t>
        </is>
      </c>
      <c r="H999" t="inlineStr">
        <is>
          <t>No</t>
        </is>
      </c>
      <c r="I999" t="inlineStr">
        <is>
          <t>1</t>
        </is>
      </c>
      <c r="J999" t="inlineStr">
        <is>
          <t>No</t>
        </is>
      </c>
      <c r="K999" t="inlineStr">
        <is>
          <t>No</t>
        </is>
      </c>
      <c r="L999" t="inlineStr">
        <is>
          <t>0</t>
        </is>
      </c>
      <c r="M999" t="inlineStr">
        <is>
          <t>Rizik, Marisela.</t>
        </is>
      </c>
      <c r="N999" t="inlineStr">
        <is>
          <t>Willimantic, CT : Curbstone Press, 2004.</t>
        </is>
      </c>
      <c r="O999" t="inlineStr">
        <is>
          <t>2004</t>
        </is>
      </c>
      <c r="P999" t="inlineStr">
        <is>
          <t>1st ed.</t>
        </is>
      </c>
      <c r="Q999" t="inlineStr">
        <is>
          <t>eng</t>
        </is>
      </c>
      <c r="R999" t="inlineStr">
        <is>
          <t>ctu</t>
        </is>
      </c>
      <c r="T999" t="inlineStr">
        <is>
          <t xml:space="preserve">PQ </t>
        </is>
      </c>
      <c r="U999" t="n">
        <v>1</v>
      </c>
      <c r="V999" t="n">
        <v>1</v>
      </c>
      <c r="W999" t="inlineStr">
        <is>
          <t>2004-06-07</t>
        </is>
      </c>
      <c r="X999" t="inlineStr">
        <is>
          <t>2004-06-07</t>
        </is>
      </c>
      <c r="Y999" t="inlineStr">
        <is>
          <t>2004-06-07</t>
        </is>
      </c>
      <c r="Z999" t="inlineStr">
        <is>
          <t>2004-06-07</t>
        </is>
      </c>
      <c r="AA999" t="n">
        <v>135</v>
      </c>
      <c r="AB999" t="n">
        <v>128</v>
      </c>
      <c r="AC999" t="n">
        <v>131</v>
      </c>
      <c r="AD999" t="n">
        <v>2</v>
      </c>
      <c r="AE999" t="n">
        <v>2</v>
      </c>
      <c r="AF999" t="n">
        <v>5</v>
      </c>
      <c r="AG999" t="n">
        <v>5</v>
      </c>
      <c r="AH999" t="n">
        <v>0</v>
      </c>
      <c r="AI999" t="n">
        <v>0</v>
      </c>
      <c r="AJ999" t="n">
        <v>2</v>
      </c>
      <c r="AK999" t="n">
        <v>2</v>
      </c>
      <c r="AL999" t="n">
        <v>3</v>
      </c>
      <c r="AM999" t="n">
        <v>3</v>
      </c>
      <c r="AN999" t="n">
        <v>1</v>
      </c>
      <c r="AO999" t="n">
        <v>1</v>
      </c>
      <c r="AP999" t="n">
        <v>0</v>
      </c>
      <c r="AQ999" t="n">
        <v>0</v>
      </c>
      <c r="AR999" t="inlineStr">
        <is>
          <t>No</t>
        </is>
      </c>
      <c r="AS999" t="inlineStr">
        <is>
          <t>Yes</t>
        </is>
      </c>
      <c r="AT999">
        <f>HYPERLINK("http://catalog.hathitrust.org/Record/008321781","HathiTrust Record")</f>
        <v/>
      </c>
      <c r="AU999">
        <f>HYPERLINK("https://creighton-primo.hosted.exlibrisgroup.com/primo-explore/search?tab=default_tab&amp;search_scope=EVERYTHING&amp;vid=01CRU&amp;lang=en_US&amp;offset=0&amp;query=any,contains,991004302659702656","Catalog Record")</f>
        <v/>
      </c>
      <c r="AV999">
        <f>HYPERLINK("http://www.worldcat.org/oclc/52876532","WorldCat Record")</f>
        <v/>
      </c>
      <c r="AW999" t="inlineStr">
        <is>
          <t>3943638407:eng</t>
        </is>
      </c>
      <c r="AX999" t="inlineStr">
        <is>
          <t>52876532</t>
        </is>
      </c>
      <c r="AY999" t="inlineStr">
        <is>
          <t>991004302659702656</t>
        </is>
      </c>
      <c r="AZ999" t="inlineStr">
        <is>
          <t>991004302659702656</t>
        </is>
      </c>
      <c r="BA999" t="inlineStr">
        <is>
          <t>2257708530002656</t>
        </is>
      </c>
      <c r="BB999" t="inlineStr">
        <is>
          <t>BOOK</t>
        </is>
      </c>
      <c r="BD999" t="inlineStr">
        <is>
          <t>9781931896009</t>
        </is>
      </c>
      <c r="BE999" t="inlineStr">
        <is>
          <t>32285004907803</t>
        </is>
      </c>
      <c r="BF999" t="inlineStr">
        <is>
          <t>893263187</t>
        </is>
      </c>
    </row>
    <row r="1000">
      <c r="A1000" t="inlineStr">
        <is>
          <t>No</t>
        </is>
      </c>
      <c r="B1000" t="inlineStr">
        <is>
          <t>CURAL</t>
        </is>
      </c>
      <c r="C1000" t="inlineStr">
        <is>
          <t>SHELVES</t>
        </is>
      </c>
      <c r="D1000" t="inlineStr">
        <is>
          <t>PQ7409.2.S38 A37 2004</t>
        </is>
      </c>
      <c r="E1000" t="inlineStr">
        <is>
          <t>0                      PQ 7409200S  38                 A  37          2004</t>
        </is>
      </c>
      <c r="F1000" t="inlineStr">
        <is>
          <t>Adrianita, qué oscura la noche / Viriato Sención.</t>
        </is>
      </c>
      <c r="H1000" t="inlineStr">
        <is>
          <t>No</t>
        </is>
      </c>
      <c r="I1000" t="inlineStr">
        <is>
          <t>1</t>
        </is>
      </c>
      <c r="J1000" t="inlineStr">
        <is>
          <t>No</t>
        </is>
      </c>
      <c r="K1000" t="inlineStr">
        <is>
          <t>No</t>
        </is>
      </c>
      <c r="L1000" t="inlineStr">
        <is>
          <t>0</t>
        </is>
      </c>
      <c r="M1000" t="inlineStr">
        <is>
          <t>Sención, Viriato, 1941-</t>
        </is>
      </c>
      <c r="N1000" t="inlineStr">
        <is>
          <t>Santo Domingo, República Dominicana : Centenario, 2004.</t>
        </is>
      </c>
      <c r="O1000" t="inlineStr">
        <is>
          <t>2004</t>
        </is>
      </c>
      <c r="P1000" t="inlineStr">
        <is>
          <t>1. ed.</t>
        </is>
      </c>
      <c r="Q1000" t="inlineStr">
        <is>
          <t>spa</t>
        </is>
      </c>
      <c r="R1000" t="inlineStr">
        <is>
          <t xml:space="preserve">dr </t>
        </is>
      </c>
      <c r="T1000" t="inlineStr">
        <is>
          <t xml:space="preserve">PQ </t>
        </is>
      </c>
      <c r="U1000" t="n">
        <v>1</v>
      </c>
      <c r="V1000" t="n">
        <v>1</v>
      </c>
      <c r="W1000" t="inlineStr">
        <is>
          <t>2008-01-16</t>
        </is>
      </c>
      <c r="X1000" t="inlineStr">
        <is>
          <t>2008-01-16</t>
        </is>
      </c>
      <c r="Y1000" t="inlineStr">
        <is>
          <t>2008-01-16</t>
        </is>
      </c>
      <c r="Z1000" t="inlineStr">
        <is>
          <t>2008-01-16</t>
        </is>
      </c>
      <c r="AA1000" t="n">
        <v>23</v>
      </c>
      <c r="AB1000" t="n">
        <v>21</v>
      </c>
      <c r="AC1000" t="n">
        <v>23</v>
      </c>
      <c r="AD1000" t="n">
        <v>1</v>
      </c>
      <c r="AE1000" t="n">
        <v>1</v>
      </c>
      <c r="AF1000" t="n">
        <v>2</v>
      </c>
      <c r="AG1000" t="n">
        <v>2</v>
      </c>
      <c r="AH1000" t="n">
        <v>0</v>
      </c>
      <c r="AI1000" t="n">
        <v>0</v>
      </c>
      <c r="AJ1000" t="n">
        <v>2</v>
      </c>
      <c r="AK1000" t="n">
        <v>2</v>
      </c>
      <c r="AL1000" t="n">
        <v>1</v>
      </c>
      <c r="AM1000" t="n">
        <v>1</v>
      </c>
      <c r="AN1000" t="n">
        <v>0</v>
      </c>
      <c r="AO1000" t="n">
        <v>0</v>
      </c>
      <c r="AP1000" t="n">
        <v>0</v>
      </c>
      <c r="AQ1000" t="n">
        <v>0</v>
      </c>
      <c r="AR1000" t="inlineStr">
        <is>
          <t>No</t>
        </is>
      </c>
      <c r="AS1000" t="inlineStr">
        <is>
          <t>Yes</t>
        </is>
      </c>
      <c r="AT1000">
        <f>HYPERLINK("http://catalog.hathitrust.org/Record/005124493","HathiTrust Record")</f>
        <v/>
      </c>
      <c r="AU1000">
        <f>HYPERLINK("https://creighton-primo.hosted.exlibrisgroup.com/primo-explore/search?tab=default_tab&amp;search_scope=EVERYTHING&amp;vid=01CRU&amp;lang=en_US&amp;offset=0&amp;query=any,contains,991005172239702656","Catalog Record")</f>
        <v/>
      </c>
      <c r="AV1000">
        <f>HYPERLINK("http://www.worldcat.org/oclc/58027651","WorldCat Record")</f>
        <v/>
      </c>
      <c r="AW1000" t="inlineStr">
        <is>
          <t>19075706:spa</t>
        </is>
      </c>
      <c r="AX1000" t="inlineStr">
        <is>
          <t>58027651</t>
        </is>
      </c>
      <c r="AY1000" t="inlineStr">
        <is>
          <t>991005172239702656</t>
        </is>
      </c>
      <c r="AZ1000" t="inlineStr">
        <is>
          <t>991005172239702656</t>
        </is>
      </c>
      <c r="BA1000" t="inlineStr">
        <is>
          <t>2257638270002656</t>
        </is>
      </c>
      <c r="BB1000" t="inlineStr">
        <is>
          <t>BOOK</t>
        </is>
      </c>
      <c r="BD1000" t="inlineStr">
        <is>
          <t>9789993458289</t>
        </is>
      </c>
      <c r="BE1000" t="inlineStr">
        <is>
          <t>32285005378111</t>
        </is>
      </c>
      <c r="BF1000" t="inlineStr">
        <is>
          <t>893527035</t>
        </is>
      </c>
    </row>
    <row r="1001">
      <c r="A1001" t="inlineStr">
        <is>
          <t>No</t>
        </is>
      </c>
      <c r="B1001" t="inlineStr">
        <is>
          <t>CURAL</t>
        </is>
      </c>
      <c r="C1001" t="inlineStr">
        <is>
          <t>SHELVES</t>
        </is>
      </c>
      <c r="D1001" t="inlineStr">
        <is>
          <t>PQ7409.A67 A62 1997</t>
        </is>
      </c>
      <c r="E1001" t="inlineStr">
        <is>
          <t>0                      PQ 7409000A  67                 A  62          1997</t>
        </is>
      </c>
      <c r="F1001" t="inlineStr">
        <is>
          <t>Los amores del dios : novela / Miguel Aquino García.</t>
        </is>
      </c>
      <c r="H1001" t="inlineStr">
        <is>
          <t>No</t>
        </is>
      </c>
      <c r="I1001" t="inlineStr">
        <is>
          <t>1</t>
        </is>
      </c>
      <c r="J1001" t="inlineStr">
        <is>
          <t>No</t>
        </is>
      </c>
      <c r="K1001" t="inlineStr">
        <is>
          <t>No</t>
        </is>
      </c>
      <c r="L1001" t="inlineStr">
        <is>
          <t>0</t>
        </is>
      </c>
      <c r="M1001" t="inlineStr">
        <is>
          <t>Aquino García, Miguel.</t>
        </is>
      </c>
      <c r="N1001" t="inlineStr">
        <is>
          <t>Santo Domingo, R.D. : Unica, 1997.</t>
        </is>
      </c>
      <c r="O1001" t="inlineStr">
        <is>
          <t>1997</t>
        </is>
      </c>
      <c r="Q1001" t="inlineStr">
        <is>
          <t>spa</t>
        </is>
      </c>
      <c r="R1001" t="inlineStr">
        <is>
          <t xml:space="preserve">dr </t>
        </is>
      </c>
      <c r="T1001" t="inlineStr">
        <is>
          <t xml:space="preserve">PQ </t>
        </is>
      </c>
      <c r="U1001" t="n">
        <v>3</v>
      </c>
      <c r="V1001" t="n">
        <v>3</v>
      </c>
      <c r="W1001" t="inlineStr">
        <is>
          <t>2000-05-10</t>
        </is>
      </c>
      <c r="X1001" t="inlineStr">
        <is>
          <t>2000-05-10</t>
        </is>
      </c>
      <c r="Y1001" t="inlineStr">
        <is>
          <t>1998-09-08</t>
        </is>
      </c>
      <c r="Z1001" t="inlineStr">
        <is>
          <t>1998-09-08</t>
        </is>
      </c>
      <c r="AA1001" t="n">
        <v>21</v>
      </c>
      <c r="AB1001" t="n">
        <v>21</v>
      </c>
      <c r="AC1001" t="n">
        <v>29</v>
      </c>
      <c r="AD1001" t="n">
        <v>1</v>
      </c>
      <c r="AE1001" t="n">
        <v>1</v>
      </c>
      <c r="AF1001" t="n">
        <v>1</v>
      </c>
      <c r="AG1001" t="n">
        <v>2</v>
      </c>
      <c r="AH1001" t="n">
        <v>0</v>
      </c>
      <c r="AI1001" t="n">
        <v>0</v>
      </c>
      <c r="AJ1001" t="n">
        <v>0</v>
      </c>
      <c r="AK1001" t="n">
        <v>1</v>
      </c>
      <c r="AL1001" t="n">
        <v>1</v>
      </c>
      <c r="AM1001" t="n">
        <v>2</v>
      </c>
      <c r="AN1001" t="n">
        <v>0</v>
      </c>
      <c r="AO1001" t="n">
        <v>0</v>
      </c>
      <c r="AP1001" t="n">
        <v>0</v>
      </c>
      <c r="AQ1001" t="n">
        <v>0</v>
      </c>
      <c r="AR1001" t="inlineStr">
        <is>
          <t>No</t>
        </is>
      </c>
      <c r="AS1001" t="inlineStr">
        <is>
          <t>Yes</t>
        </is>
      </c>
      <c r="AT1001">
        <f>HYPERLINK("http://catalog.hathitrust.org/Record/003981299","HathiTrust Record")</f>
        <v/>
      </c>
      <c r="AU1001">
        <f>HYPERLINK("https://creighton-primo.hosted.exlibrisgroup.com/primo-explore/search?tab=default_tab&amp;search_scope=EVERYTHING&amp;vid=01CRU&amp;lang=en_US&amp;offset=0&amp;query=any,contains,991005429379702656","Catalog Record")</f>
        <v/>
      </c>
      <c r="AV1001">
        <f>HYPERLINK("http://www.worldcat.org/oclc/39731623","WorldCat Record")</f>
        <v/>
      </c>
      <c r="AW1001" t="inlineStr">
        <is>
          <t>473700523:spa</t>
        </is>
      </c>
      <c r="AX1001" t="inlineStr">
        <is>
          <t>39731623</t>
        </is>
      </c>
      <c r="AY1001" t="inlineStr">
        <is>
          <t>991005429379702656</t>
        </is>
      </c>
      <c r="AZ1001" t="inlineStr">
        <is>
          <t>991005429379702656</t>
        </is>
      </c>
      <c r="BA1001" t="inlineStr">
        <is>
          <t>2260773850002656</t>
        </is>
      </c>
      <c r="BB1001" t="inlineStr">
        <is>
          <t>BOOK</t>
        </is>
      </c>
      <c r="BE1001" t="inlineStr">
        <is>
          <t>32285003466512</t>
        </is>
      </c>
      <c r="BF1001" t="inlineStr">
        <is>
          <t>893437823</t>
        </is>
      </c>
    </row>
    <row r="1002">
      <c r="A1002" t="inlineStr">
        <is>
          <t>No</t>
        </is>
      </c>
      <c r="B1002" t="inlineStr">
        <is>
          <t>CURAL</t>
        </is>
      </c>
      <c r="C1002" t="inlineStr">
        <is>
          <t>SHELVES</t>
        </is>
      </c>
      <c r="D1002" t="inlineStr">
        <is>
          <t>PQ7409.B3 A6 2000</t>
        </is>
      </c>
      <c r="E1002" t="inlineStr">
        <is>
          <t>0                      PQ 7409000B  3                  A  6           2000</t>
        </is>
      </c>
      <c r="F1002" t="inlineStr">
        <is>
          <t>Primeros escritos de Joaquín Balaguer / compilador, Julio Jaime Julia.</t>
        </is>
      </c>
      <c r="H1002" t="inlineStr">
        <is>
          <t>No</t>
        </is>
      </c>
      <c r="I1002" t="inlineStr">
        <is>
          <t>1</t>
        </is>
      </c>
      <c r="J1002" t="inlineStr">
        <is>
          <t>No</t>
        </is>
      </c>
      <c r="K1002" t="inlineStr">
        <is>
          <t>No</t>
        </is>
      </c>
      <c r="L1002" t="inlineStr">
        <is>
          <t>0</t>
        </is>
      </c>
      <c r="M1002" t="inlineStr">
        <is>
          <t>Balaguer, Joaquín, 1906-2002.</t>
        </is>
      </c>
      <c r="N1002" t="inlineStr">
        <is>
          <t>[Dominican Republic : s.n.], c2000</t>
        </is>
      </c>
      <c r="O1002" t="inlineStr">
        <is>
          <t>2000</t>
        </is>
      </c>
      <c r="P1002" t="inlineStr">
        <is>
          <t>1ra. ed.</t>
        </is>
      </c>
      <c r="Q1002" t="inlineStr">
        <is>
          <t>spa</t>
        </is>
      </c>
      <c r="R1002" t="inlineStr">
        <is>
          <t xml:space="preserve">dr </t>
        </is>
      </c>
      <c r="T1002" t="inlineStr">
        <is>
          <t xml:space="preserve">PQ </t>
        </is>
      </c>
      <c r="U1002" t="n">
        <v>1</v>
      </c>
      <c r="V1002" t="n">
        <v>1</v>
      </c>
      <c r="W1002" t="inlineStr">
        <is>
          <t>2002-02-20</t>
        </is>
      </c>
      <c r="X1002" t="inlineStr">
        <is>
          <t>2002-02-20</t>
        </is>
      </c>
      <c r="Y1002" t="inlineStr">
        <is>
          <t>2002-02-20</t>
        </is>
      </c>
      <c r="Z1002" t="inlineStr">
        <is>
          <t>2002-02-20</t>
        </is>
      </c>
      <c r="AA1002" t="n">
        <v>31</v>
      </c>
      <c r="AB1002" t="n">
        <v>28</v>
      </c>
      <c r="AC1002" t="n">
        <v>31</v>
      </c>
      <c r="AD1002" t="n">
        <v>1</v>
      </c>
      <c r="AE1002" t="n">
        <v>1</v>
      </c>
      <c r="AF1002" t="n">
        <v>1</v>
      </c>
      <c r="AG1002" t="n">
        <v>1</v>
      </c>
      <c r="AH1002" t="n">
        <v>0</v>
      </c>
      <c r="AI1002" t="n">
        <v>0</v>
      </c>
      <c r="AJ1002" t="n">
        <v>1</v>
      </c>
      <c r="AK1002" t="n">
        <v>1</v>
      </c>
      <c r="AL1002" t="n">
        <v>0</v>
      </c>
      <c r="AM1002" t="n">
        <v>0</v>
      </c>
      <c r="AN1002" t="n">
        <v>0</v>
      </c>
      <c r="AO1002" t="n">
        <v>0</v>
      </c>
      <c r="AP1002" t="n">
        <v>0</v>
      </c>
      <c r="AQ1002" t="n">
        <v>0</v>
      </c>
      <c r="AR1002" t="inlineStr">
        <is>
          <t>No</t>
        </is>
      </c>
      <c r="AS1002" t="inlineStr">
        <is>
          <t>Yes</t>
        </is>
      </c>
      <c r="AT1002">
        <f>HYPERLINK("http://catalog.hathitrust.org/Record/004204604","HathiTrust Record")</f>
        <v/>
      </c>
      <c r="AU1002">
        <f>HYPERLINK("https://creighton-primo.hosted.exlibrisgroup.com/primo-explore/search?tab=default_tab&amp;search_scope=EVERYTHING&amp;vid=01CRU&amp;lang=en_US&amp;offset=0&amp;query=any,contains,991003743879702656","Catalog Record")</f>
        <v/>
      </c>
      <c r="AV1002">
        <f>HYPERLINK("http://www.worldcat.org/oclc/48475369","WorldCat Record")</f>
        <v/>
      </c>
      <c r="AW1002" t="inlineStr">
        <is>
          <t>37577692:spa</t>
        </is>
      </c>
      <c r="AX1002" t="inlineStr">
        <is>
          <t>48475369</t>
        </is>
      </c>
      <c r="AY1002" t="inlineStr">
        <is>
          <t>991003743879702656</t>
        </is>
      </c>
      <c r="AZ1002" t="inlineStr">
        <is>
          <t>991003743879702656</t>
        </is>
      </c>
      <c r="BA1002" t="inlineStr">
        <is>
          <t>2269863160002656</t>
        </is>
      </c>
      <c r="BB1002" t="inlineStr">
        <is>
          <t>BOOK</t>
        </is>
      </c>
      <c r="BD1002" t="inlineStr">
        <is>
          <t>9789993433156</t>
        </is>
      </c>
      <c r="BE1002" t="inlineStr">
        <is>
          <t>32285004456397</t>
        </is>
      </c>
      <c r="BF1002" t="inlineStr">
        <is>
          <t>893592845</t>
        </is>
      </c>
    </row>
    <row r="1003">
      <c r="A1003" t="inlineStr">
        <is>
          <t>No</t>
        </is>
      </c>
      <c r="B1003" t="inlineStr">
        <is>
          <t>CURAL</t>
        </is>
      </c>
      <c r="C1003" t="inlineStr">
        <is>
          <t>SHELVES</t>
        </is>
      </c>
      <c r="D1003" t="inlineStr">
        <is>
          <t>PQ7409.B5 B3 1998</t>
        </is>
      </c>
      <c r="E1003" t="inlineStr">
        <is>
          <t>0                      PQ 7409000B  5                  B  3           1998</t>
        </is>
      </c>
      <c r="F1003" t="inlineStr">
        <is>
          <t>Baní ; o, Engracia y Antoñita / Francisco Gregorio Billini.</t>
        </is>
      </c>
      <c r="H1003" t="inlineStr">
        <is>
          <t>No</t>
        </is>
      </c>
      <c r="I1003" t="inlineStr">
        <is>
          <t>1</t>
        </is>
      </c>
      <c r="J1003" t="inlineStr">
        <is>
          <t>No</t>
        </is>
      </c>
      <c r="K1003" t="inlineStr">
        <is>
          <t>No</t>
        </is>
      </c>
      <c r="L1003" t="inlineStr">
        <is>
          <t>0</t>
        </is>
      </c>
      <c r="M1003" t="inlineStr">
        <is>
          <t>Billini, Francisco Gregorio, 1844-1898.</t>
        </is>
      </c>
      <c r="N1003" t="inlineStr">
        <is>
          <t>Santo Domingo, República Dominicana : Editora de Colores, 1998.</t>
        </is>
      </c>
      <c r="O1003" t="inlineStr">
        <is>
          <t>1998</t>
        </is>
      </c>
      <c r="Q1003" t="inlineStr">
        <is>
          <t>spa</t>
        </is>
      </c>
      <c r="R1003" t="inlineStr">
        <is>
          <t xml:space="preserve">dr </t>
        </is>
      </c>
      <c r="S1003" t="inlineStr">
        <is>
          <t>Literatura dominicana</t>
        </is>
      </c>
      <c r="T1003" t="inlineStr">
        <is>
          <t xml:space="preserve">PQ </t>
        </is>
      </c>
      <c r="U1003" t="n">
        <v>1</v>
      </c>
      <c r="V1003" t="n">
        <v>1</v>
      </c>
      <c r="W1003" t="inlineStr">
        <is>
          <t>2000-09-11</t>
        </is>
      </c>
      <c r="X1003" t="inlineStr">
        <is>
          <t>2000-09-11</t>
        </is>
      </c>
      <c r="Y1003" t="inlineStr">
        <is>
          <t>2000-09-11</t>
        </is>
      </c>
      <c r="Z1003" t="inlineStr">
        <is>
          <t>2000-09-11</t>
        </is>
      </c>
      <c r="AA1003" t="n">
        <v>10</v>
      </c>
      <c r="AB1003" t="n">
        <v>10</v>
      </c>
      <c r="AC1003" t="n">
        <v>59</v>
      </c>
      <c r="AD1003" t="n">
        <v>1</v>
      </c>
      <c r="AE1003" t="n">
        <v>2</v>
      </c>
      <c r="AF1003" t="n">
        <v>1</v>
      </c>
      <c r="AG1003" t="n">
        <v>4</v>
      </c>
      <c r="AH1003" t="n">
        <v>0</v>
      </c>
      <c r="AI1003" t="n">
        <v>0</v>
      </c>
      <c r="AJ1003" t="n">
        <v>1</v>
      </c>
      <c r="AK1003" t="n">
        <v>2</v>
      </c>
      <c r="AL1003" t="n">
        <v>0</v>
      </c>
      <c r="AM1003" t="n">
        <v>1</v>
      </c>
      <c r="AN1003" t="n">
        <v>0</v>
      </c>
      <c r="AO1003" t="n">
        <v>1</v>
      </c>
      <c r="AP1003" t="n">
        <v>0</v>
      </c>
      <c r="AQ1003" t="n">
        <v>0</v>
      </c>
      <c r="AR1003" t="inlineStr">
        <is>
          <t>No</t>
        </is>
      </c>
      <c r="AS1003" t="inlineStr">
        <is>
          <t>Yes</t>
        </is>
      </c>
      <c r="AT1003">
        <f>HYPERLINK("http://catalog.hathitrust.org/Record/004048048","HathiTrust Record")</f>
        <v/>
      </c>
      <c r="AU1003">
        <f>HYPERLINK("https://creighton-primo.hosted.exlibrisgroup.com/primo-explore/search?tab=default_tab&amp;search_scope=EVERYTHING&amp;vid=01CRU&amp;lang=en_US&amp;offset=0&amp;query=any,contains,991003288479702656","Catalog Record")</f>
        <v/>
      </c>
      <c r="AV1003">
        <f>HYPERLINK("http://www.worldcat.org/oclc/44127700","WorldCat Record")</f>
        <v/>
      </c>
      <c r="AW1003" t="inlineStr">
        <is>
          <t>5090587392:spa</t>
        </is>
      </c>
      <c r="AX1003" t="inlineStr">
        <is>
          <t>44127700</t>
        </is>
      </c>
      <c r="AY1003" t="inlineStr">
        <is>
          <t>991003288479702656</t>
        </is>
      </c>
      <c r="AZ1003" t="inlineStr">
        <is>
          <t>991003288479702656</t>
        </is>
      </c>
      <c r="BA1003" t="inlineStr">
        <is>
          <t>2264895060002656</t>
        </is>
      </c>
      <c r="BB1003" t="inlineStr">
        <is>
          <t>BOOK</t>
        </is>
      </c>
      <c r="BD1003" t="inlineStr">
        <is>
          <t>9788489539709</t>
        </is>
      </c>
      <c r="BE1003" t="inlineStr">
        <is>
          <t>32285003760906</t>
        </is>
      </c>
      <c r="BF1003" t="inlineStr">
        <is>
          <t>893348515</t>
        </is>
      </c>
    </row>
    <row r="1004">
      <c r="A1004" t="inlineStr">
        <is>
          <t>No</t>
        </is>
      </c>
      <c r="B1004" t="inlineStr">
        <is>
          <t>CURAL</t>
        </is>
      </c>
      <c r="C1004" t="inlineStr">
        <is>
          <t>SHELVES</t>
        </is>
      </c>
      <c r="D1004" t="inlineStr">
        <is>
          <t>PQ7409.B65 A6 1993</t>
        </is>
      </c>
      <c r="E1004" t="inlineStr">
        <is>
          <t>0                      PQ 7409000B  65                 A  6           1993</t>
        </is>
      </c>
      <c r="F1004" t="inlineStr">
        <is>
          <t>Cuentos selectos / Juan Bosch ; selección, Juan Bosch ; prólogo y cronología, Bruno Rosario Candelier ; bibliografía, Bruno Rosario Candelier y Guillermo Piña Contreras.</t>
        </is>
      </c>
      <c r="H1004" t="inlineStr">
        <is>
          <t>No</t>
        </is>
      </c>
      <c r="I1004" t="inlineStr">
        <is>
          <t>1</t>
        </is>
      </c>
      <c r="J1004" t="inlineStr">
        <is>
          <t>No</t>
        </is>
      </c>
      <c r="K1004" t="inlineStr">
        <is>
          <t>No</t>
        </is>
      </c>
      <c r="L1004" t="inlineStr">
        <is>
          <t>0</t>
        </is>
      </c>
      <c r="M1004" t="inlineStr">
        <is>
          <t>Bosch, Juan, 1909-2001.</t>
        </is>
      </c>
      <c r="N1004" t="inlineStr">
        <is>
          <t>Caracas, Venezuela : Biblioteca Ayacucho, c1993.</t>
        </is>
      </c>
      <c r="O1004" t="inlineStr">
        <is>
          <t>1993</t>
        </is>
      </c>
      <c r="Q1004" t="inlineStr">
        <is>
          <t>spa</t>
        </is>
      </c>
      <c r="R1004" t="inlineStr">
        <is>
          <t xml:space="preserve">ve </t>
        </is>
      </c>
      <c r="S1004" t="inlineStr">
        <is>
          <t>Biblioteca Ayacucho ; 190</t>
        </is>
      </c>
      <c r="T1004" t="inlineStr">
        <is>
          <t xml:space="preserve">PQ </t>
        </is>
      </c>
      <c r="U1004" t="n">
        <v>4</v>
      </c>
      <c r="V1004" t="n">
        <v>4</v>
      </c>
      <c r="W1004" t="inlineStr">
        <is>
          <t>2001-11-28</t>
        </is>
      </c>
      <c r="X1004" t="inlineStr">
        <is>
          <t>2001-11-28</t>
        </is>
      </c>
      <c r="Y1004" t="inlineStr">
        <is>
          <t>1997-12-09</t>
        </is>
      </c>
      <c r="Z1004" t="inlineStr">
        <is>
          <t>1997-12-09</t>
        </is>
      </c>
      <c r="AA1004" t="n">
        <v>98</v>
      </c>
      <c r="AB1004" t="n">
        <v>85</v>
      </c>
      <c r="AC1004" t="n">
        <v>88</v>
      </c>
      <c r="AD1004" t="n">
        <v>1</v>
      </c>
      <c r="AE1004" t="n">
        <v>1</v>
      </c>
      <c r="AF1004" t="n">
        <v>6</v>
      </c>
      <c r="AG1004" t="n">
        <v>6</v>
      </c>
      <c r="AH1004" t="n">
        <v>2</v>
      </c>
      <c r="AI1004" t="n">
        <v>2</v>
      </c>
      <c r="AJ1004" t="n">
        <v>4</v>
      </c>
      <c r="AK1004" t="n">
        <v>4</v>
      </c>
      <c r="AL1004" t="n">
        <v>3</v>
      </c>
      <c r="AM1004" t="n">
        <v>3</v>
      </c>
      <c r="AN1004" t="n">
        <v>0</v>
      </c>
      <c r="AO1004" t="n">
        <v>0</v>
      </c>
      <c r="AP1004" t="n">
        <v>0</v>
      </c>
      <c r="AQ1004" t="n">
        <v>0</v>
      </c>
      <c r="AR1004" t="inlineStr">
        <is>
          <t>No</t>
        </is>
      </c>
      <c r="AS1004" t="inlineStr">
        <is>
          <t>Yes</t>
        </is>
      </c>
      <c r="AT1004">
        <f>HYPERLINK("http://catalog.hathitrust.org/Record/008321779","HathiTrust Record")</f>
        <v/>
      </c>
      <c r="AU1004">
        <f>HYPERLINK("https://creighton-primo.hosted.exlibrisgroup.com/primo-explore/search?tab=default_tab&amp;search_scope=EVERYTHING&amp;vid=01CRU&amp;lang=en_US&amp;offset=0&amp;query=any,contains,991002339389702656","Catalog Record")</f>
        <v/>
      </c>
      <c r="AV1004">
        <f>HYPERLINK("http://www.worldcat.org/oclc/30453103","WorldCat Record")</f>
        <v/>
      </c>
      <c r="AW1004" t="inlineStr">
        <is>
          <t>289191194:spa</t>
        </is>
      </c>
      <c r="AX1004" t="inlineStr">
        <is>
          <t>30453103</t>
        </is>
      </c>
      <c r="AY1004" t="inlineStr">
        <is>
          <t>991002339389702656</t>
        </is>
      </c>
      <c r="AZ1004" t="inlineStr">
        <is>
          <t>991002339389702656</t>
        </is>
      </c>
      <c r="BA1004" t="inlineStr">
        <is>
          <t>2263231500002656</t>
        </is>
      </c>
      <c r="BB1004" t="inlineStr">
        <is>
          <t>BOOK</t>
        </is>
      </c>
      <c r="BD1004" t="inlineStr">
        <is>
          <t>9789802762019</t>
        </is>
      </c>
      <c r="BE1004" t="inlineStr">
        <is>
          <t>32285003282174</t>
        </is>
      </c>
      <c r="BF1004" t="inlineStr">
        <is>
          <t>893804495</t>
        </is>
      </c>
    </row>
    <row r="1005">
      <c r="A1005" t="inlineStr">
        <is>
          <t>No</t>
        </is>
      </c>
      <c r="B1005" t="inlineStr">
        <is>
          <t>CURAL</t>
        </is>
      </c>
      <c r="C1005" t="inlineStr">
        <is>
          <t>SHELVES</t>
        </is>
      </c>
      <c r="D1005" t="inlineStr">
        <is>
          <t>PQ7409.B65 A6 1995</t>
        </is>
      </c>
      <c r="E1005" t="inlineStr">
        <is>
          <t>0                      PQ 7409000B  65                 A  6           1995</t>
        </is>
      </c>
      <c r="F1005" t="inlineStr">
        <is>
          <t>Cuentos escritos en el exilio / Juan Bosch.</t>
        </is>
      </c>
      <c r="H1005" t="inlineStr">
        <is>
          <t>No</t>
        </is>
      </c>
      <c r="I1005" t="inlineStr">
        <is>
          <t>1</t>
        </is>
      </c>
      <c r="J1005" t="inlineStr">
        <is>
          <t>No</t>
        </is>
      </c>
      <c r="K1005" t="inlineStr">
        <is>
          <t>No</t>
        </is>
      </c>
      <c r="L1005" t="inlineStr">
        <is>
          <t>0</t>
        </is>
      </c>
      <c r="M1005" t="inlineStr">
        <is>
          <t>Bosch, Juan, 1909-2001.</t>
        </is>
      </c>
      <c r="N1005" t="inlineStr">
        <is>
          <t>Santo Domingo : Editora "Alfa y Omega," 1995.</t>
        </is>
      </c>
      <c r="O1005" t="inlineStr">
        <is>
          <t>1995</t>
        </is>
      </c>
      <c r="P1005" t="inlineStr">
        <is>
          <t>22a ed.</t>
        </is>
      </c>
      <c r="Q1005" t="inlineStr">
        <is>
          <t>spa</t>
        </is>
      </c>
      <c r="R1005" t="inlineStr">
        <is>
          <t xml:space="preserve">dr </t>
        </is>
      </c>
      <c r="T1005" t="inlineStr">
        <is>
          <t xml:space="preserve">PQ </t>
        </is>
      </c>
      <c r="U1005" t="n">
        <v>2</v>
      </c>
      <c r="V1005" t="n">
        <v>2</v>
      </c>
      <c r="W1005" t="inlineStr">
        <is>
          <t>1999-11-01</t>
        </is>
      </c>
      <c r="X1005" t="inlineStr">
        <is>
          <t>1999-11-01</t>
        </is>
      </c>
      <c r="Y1005" t="inlineStr">
        <is>
          <t>1996-01-26</t>
        </is>
      </c>
      <c r="Z1005" t="inlineStr">
        <is>
          <t>1996-01-26</t>
        </is>
      </c>
      <c r="AA1005" t="n">
        <v>5</v>
      </c>
      <c r="AB1005" t="n">
        <v>5</v>
      </c>
      <c r="AC1005" t="n">
        <v>75</v>
      </c>
      <c r="AD1005" t="n">
        <v>1</v>
      </c>
      <c r="AE1005" t="n">
        <v>1</v>
      </c>
      <c r="AF1005" t="n">
        <v>0</v>
      </c>
      <c r="AG1005" t="n">
        <v>3</v>
      </c>
      <c r="AH1005" t="n">
        <v>0</v>
      </c>
      <c r="AI1005" t="n">
        <v>0</v>
      </c>
      <c r="AJ1005" t="n">
        <v>0</v>
      </c>
      <c r="AK1005" t="n">
        <v>2</v>
      </c>
      <c r="AL1005" t="n">
        <v>0</v>
      </c>
      <c r="AM1005" t="n">
        <v>1</v>
      </c>
      <c r="AN1005" t="n">
        <v>0</v>
      </c>
      <c r="AO1005" t="n">
        <v>0</v>
      </c>
      <c r="AP1005" t="n">
        <v>0</v>
      </c>
      <c r="AQ1005" t="n">
        <v>0</v>
      </c>
      <c r="AR1005" t="inlineStr">
        <is>
          <t>No</t>
        </is>
      </c>
      <c r="AS1005" t="inlineStr">
        <is>
          <t>No</t>
        </is>
      </c>
      <c r="AU1005">
        <f>HYPERLINK("https://creighton-primo.hosted.exlibrisgroup.com/primo-explore/search?tab=default_tab&amp;search_scope=EVERYTHING&amp;vid=01CRU&amp;lang=en_US&amp;offset=0&amp;query=any,contains,991002594159702656","Catalog Record")</f>
        <v/>
      </c>
      <c r="AV1005">
        <f>HYPERLINK("http://www.worldcat.org/oclc/33974207","WorldCat Record")</f>
        <v/>
      </c>
      <c r="AW1005" t="inlineStr">
        <is>
          <t>67047939:spa</t>
        </is>
      </c>
      <c r="AX1005" t="inlineStr">
        <is>
          <t>33974207</t>
        </is>
      </c>
      <c r="AY1005" t="inlineStr">
        <is>
          <t>991002594159702656</t>
        </is>
      </c>
      <c r="AZ1005" t="inlineStr">
        <is>
          <t>991002594159702656</t>
        </is>
      </c>
      <c r="BA1005" t="inlineStr">
        <is>
          <t>2265942900002656</t>
        </is>
      </c>
      <c r="BB1005" t="inlineStr">
        <is>
          <t>BOOK</t>
        </is>
      </c>
      <c r="BE1005" t="inlineStr">
        <is>
          <t>32285002126190</t>
        </is>
      </c>
      <c r="BF1005" t="inlineStr">
        <is>
          <t>893329291</t>
        </is>
      </c>
    </row>
    <row r="1006">
      <c r="A1006" t="inlineStr">
        <is>
          <t>No</t>
        </is>
      </c>
      <c r="B1006" t="inlineStr">
        <is>
          <t>CURAL</t>
        </is>
      </c>
      <c r="C1006" t="inlineStr">
        <is>
          <t>SHELVES</t>
        </is>
      </c>
      <c r="D1006" t="inlineStr">
        <is>
          <t>PQ7409.B65 Z685 1995</t>
        </is>
      </c>
      <c r="E1006" t="inlineStr">
        <is>
          <t>0                      PQ 7409000B  65                 Z  685         1995</t>
        </is>
      </c>
      <c r="F1006" t="inlineStr">
        <is>
          <t>Juan Bosch : novela, historia y sociedad / Eugenio de J. García Cuevas.</t>
        </is>
      </c>
      <c r="H1006" t="inlineStr">
        <is>
          <t>No</t>
        </is>
      </c>
      <c r="I1006" t="inlineStr">
        <is>
          <t>1</t>
        </is>
      </c>
      <c r="J1006" t="inlineStr">
        <is>
          <t>No</t>
        </is>
      </c>
      <c r="K1006" t="inlineStr">
        <is>
          <t>No</t>
        </is>
      </c>
      <c r="L1006" t="inlineStr">
        <is>
          <t>0</t>
        </is>
      </c>
      <c r="M1006" t="inlineStr">
        <is>
          <t>García Cuevas, Eugenio de J.</t>
        </is>
      </c>
      <c r="N1006" t="inlineStr">
        <is>
          <t>San Juan, PR : Isla Negra, 1995.</t>
        </is>
      </c>
      <c r="O1006" t="inlineStr">
        <is>
          <t>1995</t>
        </is>
      </c>
      <c r="P1006" t="inlineStr">
        <is>
          <t>1. ed.</t>
        </is>
      </c>
      <c r="Q1006" t="inlineStr">
        <is>
          <t>spa</t>
        </is>
      </c>
      <c r="R1006" t="inlineStr">
        <is>
          <t xml:space="preserve">pr </t>
        </is>
      </c>
      <c r="S1006" t="inlineStr">
        <is>
          <t>Visiones y cegueras</t>
        </is>
      </c>
      <c r="T1006" t="inlineStr">
        <is>
          <t xml:space="preserve">PQ </t>
        </is>
      </c>
      <c r="U1006" t="n">
        <v>2</v>
      </c>
      <c r="V1006" t="n">
        <v>2</v>
      </c>
      <c r="W1006" t="inlineStr">
        <is>
          <t>1999-11-01</t>
        </is>
      </c>
      <c r="X1006" t="inlineStr">
        <is>
          <t>1999-11-01</t>
        </is>
      </c>
      <c r="Y1006" t="inlineStr">
        <is>
          <t>1996-08-29</t>
        </is>
      </c>
      <c r="Z1006" t="inlineStr">
        <is>
          <t>1996-08-29</t>
        </is>
      </c>
      <c r="AA1006" t="n">
        <v>61</v>
      </c>
      <c r="AB1006" t="n">
        <v>53</v>
      </c>
      <c r="AC1006" t="n">
        <v>55</v>
      </c>
      <c r="AD1006" t="n">
        <v>1</v>
      </c>
      <c r="AE1006" t="n">
        <v>1</v>
      </c>
      <c r="AF1006" t="n">
        <v>3</v>
      </c>
      <c r="AG1006" t="n">
        <v>3</v>
      </c>
      <c r="AH1006" t="n">
        <v>0</v>
      </c>
      <c r="AI1006" t="n">
        <v>0</v>
      </c>
      <c r="AJ1006" t="n">
        <v>2</v>
      </c>
      <c r="AK1006" t="n">
        <v>2</v>
      </c>
      <c r="AL1006" t="n">
        <v>2</v>
      </c>
      <c r="AM1006" t="n">
        <v>2</v>
      </c>
      <c r="AN1006" t="n">
        <v>0</v>
      </c>
      <c r="AO1006" t="n">
        <v>0</v>
      </c>
      <c r="AP1006" t="n">
        <v>0</v>
      </c>
      <c r="AQ1006" t="n">
        <v>0</v>
      </c>
      <c r="AR1006" t="inlineStr">
        <is>
          <t>No</t>
        </is>
      </c>
      <c r="AS1006" t="inlineStr">
        <is>
          <t>Yes</t>
        </is>
      </c>
      <c r="AT1006">
        <f>HYPERLINK("http://catalog.hathitrust.org/Record/101104747","HathiTrust Record")</f>
        <v/>
      </c>
      <c r="AU1006">
        <f>HYPERLINK("https://creighton-primo.hosted.exlibrisgroup.com/primo-explore/search?tab=default_tab&amp;search_scope=EVERYTHING&amp;vid=01CRU&amp;lang=en_US&amp;offset=0&amp;query=any,contains,991002697149702656","Catalog Record")</f>
        <v/>
      </c>
      <c r="AV1006">
        <f>HYPERLINK("http://www.worldcat.org/oclc/35212880","WorldCat Record")</f>
        <v/>
      </c>
      <c r="AW1006" t="inlineStr">
        <is>
          <t>366281702:spa</t>
        </is>
      </c>
      <c r="AX1006" t="inlineStr">
        <is>
          <t>35212880</t>
        </is>
      </c>
      <c r="AY1006" t="inlineStr">
        <is>
          <t>991002697149702656</t>
        </is>
      </c>
      <c r="AZ1006" t="inlineStr">
        <is>
          <t>991002697149702656</t>
        </is>
      </c>
      <c r="BA1006" t="inlineStr">
        <is>
          <t>2256505890002656</t>
        </is>
      </c>
      <c r="BB1006" t="inlineStr">
        <is>
          <t>BOOK</t>
        </is>
      </c>
      <c r="BE1006" t="inlineStr">
        <is>
          <t>32285002293453</t>
        </is>
      </c>
      <c r="BF1006" t="inlineStr">
        <is>
          <t>893880278</t>
        </is>
      </c>
    </row>
    <row r="1007">
      <c r="A1007" t="inlineStr">
        <is>
          <t>No</t>
        </is>
      </c>
      <c r="B1007" t="inlineStr">
        <is>
          <t>CURAL</t>
        </is>
      </c>
      <c r="C1007" t="inlineStr">
        <is>
          <t>SHELVES</t>
        </is>
      </c>
      <c r="D1007" t="inlineStr">
        <is>
          <t>PQ7409.C23 C65 2001</t>
        </is>
      </c>
      <c r="E1007" t="inlineStr">
        <is>
          <t>0                      PQ 7409000C  23                 C  65          2001</t>
        </is>
      </c>
      <c r="F1007" t="inlineStr">
        <is>
          <t>Compadre Mon / Manuel del Cabral.</t>
        </is>
      </c>
      <c r="H1007" t="inlineStr">
        <is>
          <t>No</t>
        </is>
      </c>
      <c r="I1007" t="inlineStr">
        <is>
          <t>1</t>
        </is>
      </c>
      <c r="J1007" t="inlineStr">
        <is>
          <t>No</t>
        </is>
      </c>
      <c r="K1007" t="inlineStr">
        <is>
          <t>Yes</t>
        </is>
      </c>
      <c r="L1007" t="inlineStr">
        <is>
          <t>0</t>
        </is>
      </c>
      <c r="M1007" t="inlineStr">
        <is>
          <t>Cabral, Manuel del, 1907-1999.</t>
        </is>
      </c>
      <c r="N1007" t="inlineStr">
        <is>
          <t>Santo Domingo, D.R. : Banco de Reservas de la República Dominicana, 2001.</t>
        </is>
      </c>
      <c r="O1007" t="inlineStr">
        <is>
          <t>2001</t>
        </is>
      </c>
      <c r="Q1007" t="inlineStr">
        <is>
          <t>spa</t>
        </is>
      </c>
      <c r="R1007" t="inlineStr">
        <is>
          <t xml:space="preserve">dr </t>
        </is>
      </c>
      <c r="T1007" t="inlineStr">
        <is>
          <t xml:space="preserve">PQ </t>
        </is>
      </c>
      <c r="U1007" t="n">
        <v>2</v>
      </c>
      <c r="V1007" t="n">
        <v>2</v>
      </c>
      <c r="W1007" t="inlineStr">
        <is>
          <t>2002-07-09</t>
        </is>
      </c>
      <c r="X1007" t="inlineStr">
        <is>
          <t>2002-07-09</t>
        </is>
      </c>
      <c r="Y1007" t="inlineStr">
        <is>
          <t>2001-06-19</t>
        </is>
      </c>
      <c r="Z1007" t="inlineStr">
        <is>
          <t>2001-06-19</t>
        </is>
      </c>
      <c r="AA1007" t="n">
        <v>16</v>
      </c>
      <c r="AB1007" t="n">
        <v>16</v>
      </c>
      <c r="AC1007" t="n">
        <v>71</v>
      </c>
      <c r="AD1007" t="n">
        <v>1</v>
      </c>
      <c r="AE1007" t="n">
        <v>1</v>
      </c>
      <c r="AF1007" t="n">
        <v>0</v>
      </c>
      <c r="AG1007" t="n">
        <v>3</v>
      </c>
      <c r="AH1007" t="n">
        <v>0</v>
      </c>
      <c r="AI1007" t="n">
        <v>0</v>
      </c>
      <c r="AJ1007" t="n">
        <v>0</v>
      </c>
      <c r="AK1007" t="n">
        <v>2</v>
      </c>
      <c r="AL1007" t="n">
        <v>0</v>
      </c>
      <c r="AM1007" t="n">
        <v>1</v>
      </c>
      <c r="AN1007" t="n">
        <v>0</v>
      </c>
      <c r="AO1007" t="n">
        <v>0</v>
      </c>
      <c r="AP1007" t="n">
        <v>0</v>
      </c>
      <c r="AQ1007" t="n">
        <v>0</v>
      </c>
      <c r="AR1007" t="inlineStr">
        <is>
          <t>No</t>
        </is>
      </c>
      <c r="AS1007" t="inlineStr">
        <is>
          <t>Yes</t>
        </is>
      </c>
      <c r="AT1007">
        <f>HYPERLINK("http://catalog.hathitrust.org/Record/101104754","HathiTrust Record")</f>
        <v/>
      </c>
      <c r="AU1007">
        <f>HYPERLINK("https://creighton-primo.hosted.exlibrisgroup.com/primo-explore/search?tab=default_tab&amp;search_scope=EVERYTHING&amp;vid=01CRU&amp;lang=en_US&amp;offset=0&amp;query=any,contains,991003560419702656","Catalog Record")</f>
        <v/>
      </c>
      <c r="AV1007">
        <f>HYPERLINK("http://www.worldcat.org/oclc/47058461","WorldCat Record")</f>
        <v/>
      </c>
      <c r="AW1007" t="inlineStr">
        <is>
          <t>1747367:spa</t>
        </is>
      </c>
      <c r="AX1007" t="inlineStr">
        <is>
          <t>47058461</t>
        </is>
      </c>
      <c r="AY1007" t="inlineStr">
        <is>
          <t>991003560419702656</t>
        </is>
      </c>
      <c r="AZ1007" t="inlineStr">
        <is>
          <t>991003560419702656</t>
        </is>
      </c>
      <c r="BA1007" t="inlineStr">
        <is>
          <t>2266723630002656</t>
        </is>
      </c>
      <c r="BB1007" t="inlineStr">
        <is>
          <t>BOOK</t>
        </is>
      </c>
      <c r="BD1007" t="inlineStr">
        <is>
          <t>9789993423195</t>
        </is>
      </c>
      <c r="BE1007" t="inlineStr">
        <is>
          <t>32285004328299</t>
        </is>
      </c>
      <c r="BF1007" t="inlineStr">
        <is>
          <t>893604909</t>
        </is>
      </c>
    </row>
    <row r="1008">
      <c r="A1008" t="inlineStr">
        <is>
          <t>No</t>
        </is>
      </c>
      <c r="B1008" t="inlineStr">
        <is>
          <t>CURAL</t>
        </is>
      </c>
      <c r="C1008" t="inlineStr">
        <is>
          <t>SHELVES</t>
        </is>
      </c>
      <c r="D1008" t="inlineStr">
        <is>
          <t>PQ7409.C34 E8 1980</t>
        </is>
      </c>
      <c r="E1008" t="inlineStr">
        <is>
          <t>0                      PQ 7409000C  34                 E  8           1980</t>
        </is>
      </c>
      <c r="F1008" t="inlineStr">
        <is>
          <t>Escalera para Electra / Aaida Cartagena Portalatain.</t>
        </is>
      </c>
      <c r="H1008" t="inlineStr">
        <is>
          <t>No</t>
        </is>
      </c>
      <c r="I1008" t="inlineStr">
        <is>
          <t>1</t>
        </is>
      </c>
      <c r="J1008" t="inlineStr">
        <is>
          <t>No</t>
        </is>
      </c>
      <c r="K1008" t="inlineStr">
        <is>
          <t>No</t>
        </is>
      </c>
      <c r="L1008" t="inlineStr">
        <is>
          <t>0</t>
        </is>
      </c>
      <c r="M1008" t="inlineStr">
        <is>
          <t>Cartagena Portalatain, Aaida.</t>
        </is>
      </c>
      <c r="N1008" t="inlineStr">
        <is>
          <t>Santo Domingo, R.D. : Editora Taller, 1980.</t>
        </is>
      </c>
      <c r="O1008" t="inlineStr">
        <is>
          <t>1980</t>
        </is>
      </c>
      <c r="P1008" t="inlineStr">
        <is>
          <t>2. ed.</t>
        </is>
      </c>
      <c r="Q1008" t="inlineStr">
        <is>
          <t>spa</t>
        </is>
      </c>
      <c r="R1008" t="inlineStr">
        <is>
          <t xml:space="preserve">dr </t>
        </is>
      </c>
      <c r="S1008" t="inlineStr">
        <is>
          <t>Colección Montesinos ; no. 1</t>
        </is>
      </c>
      <c r="T1008" t="inlineStr">
        <is>
          <t xml:space="preserve">PQ </t>
        </is>
      </c>
      <c r="U1008" t="n">
        <v>1</v>
      </c>
      <c r="V1008" t="n">
        <v>1</v>
      </c>
      <c r="W1008" t="inlineStr">
        <is>
          <t>2004-08-02</t>
        </is>
      </c>
      <c r="X1008" t="inlineStr">
        <is>
          <t>2004-08-02</t>
        </is>
      </c>
      <c r="Y1008" t="inlineStr">
        <is>
          <t>2004-08-02</t>
        </is>
      </c>
      <c r="Z1008" t="inlineStr">
        <is>
          <t>2004-08-02</t>
        </is>
      </c>
      <c r="AA1008" t="n">
        <v>10</v>
      </c>
      <c r="AB1008" t="n">
        <v>6</v>
      </c>
      <c r="AC1008" t="n">
        <v>67</v>
      </c>
      <c r="AD1008" t="n">
        <v>1</v>
      </c>
      <c r="AE1008" t="n">
        <v>2</v>
      </c>
      <c r="AF1008" t="n">
        <v>0</v>
      </c>
      <c r="AG1008" t="n">
        <v>3</v>
      </c>
      <c r="AH1008" t="n">
        <v>0</v>
      </c>
      <c r="AI1008" t="n">
        <v>0</v>
      </c>
      <c r="AJ1008" t="n">
        <v>0</v>
      </c>
      <c r="AK1008" t="n">
        <v>2</v>
      </c>
      <c r="AL1008" t="n">
        <v>0</v>
      </c>
      <c r="AM1008" t="n">
        <v>0</v>
      </c>
      <c r="AN1008" t="n">
        <v>0</v>
      </c>
      <c r="AO1008" t="n">
        <v>1</v>
      </c>
      <c r="AP1008" t="n">
        <v>0</v>
      </c>
      <c r="AQ1008" t="n">
        <v>0</v>
      </c>
      <c r="AR1008" t="inlineStr">
        <is>
          <t>No</t>
        </is>
      </c>
      <c r="AS1008" t="inlineStr">
        <is>
          <t>No</t>
        </is>
      </c>
      <c r="AU1008">
        <f>HYPERLINK("https://creighton-primo.hosted.exlibrisgroup.com/primo-explore/search?tab=default_tab&amp;search_scope=EVERYTHING&amp;vid=01CRU&amp;lang=en_US&amp;offset=0&amp;query=any,contains,991004332939702656","Catalog Record")</f>
        <v/>
      </c>
      <c r="AV1008">
        <f>HYPERLINK("http://www.worldcat.org/oclc/21069511","WorldCat Record")</f>
        <v/>
      </c>
      <c r="AW1008" t="inlineStr">
        <is>
          <t>372274:spa</t>
        </is>
      </c>
      <c r="AX1008" t="inlineStr">
        <is>
          <t>21069511</t>
        </is>
      </c>
      <c r="AY1008" t="inlineStr">
        <is>
          <t>991004332939702656</t>
        </is>
      </c>
      <c r="AZ1008" t="inlineStr">
        <is>
          <t>991004332939702656</t>
        </is>
      </c>
      <c r="BA1008" t="inlineStr">
        <is>
          <t>2269782030002656</t>
        </is>
      </c>
      <c r="BB1008" t="inlineStr">
        <is>
          <t>BOOK</t>
        </is>
      </c>
      <c r="BE1008" t="inlineStr">
        <is>
          <t>32285004925375</t>
        </is>
      </c>
      <c r="BF1008" t="inlineStr">
        <is>
          <t>893712462</t>
        </is>
      </c>
    </row>
    <row r="1009">
      <c r="A1009" t="inlineStr">
        <is>
          <t>No</t>
        </is>
      </c>
      <c r="B1009" t="inlineStr">
        <is>
          <t>CURAL</t>
        </is>
      </c>
      <c r="C1009" t="inlineStr">
        <is>
          <t>SHELVES</t>
        </is>
      </c>
      <c r="D1009" t="inlineStr">
        <is>
          <t>PQ7409.C4 S3 2000</t>
        </is>
      </c>
      <c r="E1009" t="inlineStr">
        <is>
          <t>0                      PQ 7409000C  4                  S  3           2000</t>
        </is>
      </c>
      <c r="F1009" t="inlineStr">
        <is>
          <t>La sangre : una vida bajo la tiranía / Tulio Manuel Cestero.</t>
        </is>
      </c>
      <c r="H1009" t="inlineStr">
        <is>
          <t>No</t>
        </is>
      </c>
      <c r="I1009" t="inlineStr">
        <is>
          <t>1</t>
        </is>
      </c>
      <c r="J1009" t="inlineStr">
        <is>
          <t>No</t>
        </is>
      </c>
      <c r="K1009" t="inlineStr">
        <is>
          <t>No</t>
        </is>
      </c>
      <c r="L1009" t="inlineStr">
        <is>
          <t>0</t>
        </is>
      </c>
      <c r="M1009" t="inlineStr">
        <is>
          <t>Cestero, Tulio M. (Tulio Manuel), 1877-1955.</t>
        </is>
      </c>
      <c r="N1009" t="inlineStr">
        <is>
          <t>Santo Domingo, República Dominicana : Editora Manatí, 2000.</t>
        </is>
      </c>
      <c r="O1009" t="inlineStr">
        <is>
          <t>2000</t>
        </is>
      </c>
      <c r="Q1009" t="inlineStr">
        <is>
          <t>spa</t>
        </is>
      </c>
      <c r="R1009" t="inlineStr">
        <is>
          <t xml:space="preserve">dr </t>
        </is>
      </c>
      <c r="S1009" t="inlineStr">
        <is>
          <t>Clásicos de Editoria Manatí</t>
        </is>
      </c>
      <c r="T1009" t="inlineStr">
        <is>
          <t xml:space="preserve">PQ </t>
        </is>
      </c>
      <c r="U1009" t="n">
        <v>3</v>
      </c>
      <c r="V1009" t="n">
        <v>3</v>
      </c>
      <c r="W1009" t="inlineStr">
        <is>
          <t>2002-03-27</t>
        </is>
      </c>
      <c r="X1009" t="inlineStr">
        <is>
          <t>2002-03-27</t>
        </is>
      </c>
      <c r="Y1009" t="inlineStr">
        <is>
          <t>2001-06-12</t>
        </is>
      </c>
      <c r="Z1009" t="inlineStr">
        <is>
          <t>2001-06-12</t>
        </is>
      </c>
      <c r="AA1009" t="n">
        <v>20</v>
      </c>
      <c r="AB1009" t="n">
        <v>16</v>
      </c>
      <c r="AC1009" t="n">
        <v>46</v>
      </c>
      <c r="AD1009" t="n">
        <v>1</v>
      </c>
      <c r="AE1009" t="n">
        <v>1</v>
      </c>
      <c r="AF1009" t="n">
        <v>1</v>
      </c>
      <c r="AG1009" t="n">
        <v>2</v>
      </c>
      <c r="AH1009" t="n">
        <v>0</v>
      </c>
      <c r="AI1009" t="n">
        <v>0</v>
      </c>
      <c r="AJ1009" t="n">
        <v>1</v>
      </c>
      <c r="AK1009" t="n">
        <v>1</v>
      </c>
      <c r="AL1009" t="n">
        <v>0</v>
      </c>
      <c r="AM1009" t="n">
        <v>1</v>
      </c>
      <c r="AN1009" t="n">
        <v>0</v>
      </c>
      <c r="AO1009" t="n">
        <v>0</v>
      </c>
      <c r="AP1009" t="n">
        <v>0</v>
      </c>
      <c r="AQ1009" t="n">
        <v>0</v>
      </c>
      <c r="AR1009" t="inlineStr">
        <is>
          <t>No</t>
        </is>
      </c>
      <c r="AS1009" t="inlineStr">
        <is>
          <t>No</t>
        </is>
      </c>
      <c r="AU1009">
        <f>HYPERLINK("https://creighton-primo.hosted.exlibrisgroup.com/primo-explore/search?tab=default_tab&amp;search_scope=EVERYTHING&amp;vid=01CRU&amp;lang=en_US&amp;offset=0&amp;query=any,contains,991003558039702656","Catalog Record")</f>
        <v/>
      </c>
      <c r="AV1009">
        <f>HYPERLINK("http://www.worldcat.org/oclc/45711558","WorldCat Record")</f>
        <v/>
      </c>
      <c r="AW1009" t="inlineStr">
        <is>
          <t>365445557:spa</t>
        </is>
      </c>
      <c r="AX1009" t="inlineStr">
        <is>
          <t>45711558</t>
        </is>
      </c>
      <c r="AY1009" t="inlineStr">
        <is>
          <t>991003558039702656</t>
        </is>
      </c>
      <c r="AZ1009" t="inlineStr">
        <is>
          <t>991003558039702656</t>
        </is>
      </c>
      <c r="BA1009" t="inlineStr">
        <is>
          <t>2262969760002656</t>
        </is>
      </c>
      <c r="BB1009" t="inlineStr">
        <is>
          <t>BOOK</t>
        </is>
      </c>
      <c r="BD1009" t="inlineStr">
        <is>
          <t>9789993480044</t>
        </is>
      </c>
      <c r="BE1009" t="inlineStr">
        <is>
          <t>32285004326780</t>
        </is>
      </c>
      <c r="BF1009" t="inlineStr">
        <is>
          <t>893518616</t>
        </is>
      </c>
    </row>
    <row r="1010">
      <c r="A1010" t="inlineStr">
        <is>
          <t>No</t>
        </is>
      </c>
      <c r="B1010" t="inlineStr">
        <is>
          <t>CURAL</t>
        </is>
      </c>
      <c r="C1010" t="inlineStr">
        <is>
          <t>SHELVES</t>
        </is>
      </c>
      <c r="D1010" t="inlineStr">
        <is>
          <t>PQ7409.C65 C37 2000</t>
        </is>
      </c>
      <c r="E1010" t="inlineStr">
        <is>
          <t>0                      PQ 7409000C  65                 C  37          2000</t>
        </is>
      </c>
      <c r="F1010" t="inlineStr">
        <is>
          <t>Cartas a Massillón : 30 poemas / Grey Coiscou Guzmán.</t>
        </is>
      </c>
      <c r="H1010" t="inlineStr">
        <is>
          <t>No</t>
        </is>
      </c>
      <c r="I1010" t="inlineStr">
        <is>
          <t>1</t>
        </is>
      </c>
      <c r="J1010" t="inlineStr">
        <is>
          <t>No</t>
        </is>
      </c>
      <c r="K1010" t="inlineStr">
        <is>
          <t>No</t>
        </is>
      </c>
      <c r="L1010" t="inlineStr">
        <is>
          <t>0</t>
        </is>
      </c>
      <c r="M1010" t="inlineStr">
        <is>
          <t>Coiscou Guzmán, Grey, 1941-</t>
        </is>
      </c>
      <c r="N1010" t="inlineStr">
        <is>
          <t>Santo Domingo, R.D. : Cocolo Editorial, 2000.</t>
        </is>
      </c>
      <c r="O1010" t="inlineStr">
        <is>
          <t>2000</t>
        </is>
      </c>
      <c r="P1010" t="inlineStr">
        <is>
          <t>1. ed.</t>
        </is>
      </c>
      <c r="Q1010" t="inlineStr">
        <is>
          <t>spa</t>
        </is>
      </c>
      <c r="R1010" t="inlineStr">
        <is>
          <t xml:space="preserve">dr </t>
        </is>
      </c>
      <c r="T1010" t="inlineStr">
        <is>
          <t xml:space="preserve">PQ </t>
        </is>
      </c>
      <c r="U1010" t="n">
        <v>1</v>
      </c>
      <c r="V1010" t="n">
        <v>1</v>
      </c>
      <c r="W1010" t="inlineStr">
        <is>
          <t>2001-06-13</t>
        </is>
      </c>
      <c r="X1010" t="inlineStr">
        <is>
          <t>2001-06-13</t>
        </is>
      </c>
      <c r="Y1010" t="inlineStr">
        <is>
          <t>2001-06-13</t>
        </is>
      </c>
      <c r="Z1010" t="inlineStr">
        <is>
          <t>2001-06-13</t>
        </is>
      </c>
      <c r="AA1010" t="n">
        <v>15</v>
      </c>
      <c r="AB1010" t="n">
        <v>15</v>
      </c>
      <c r="AC1010" t="n">
        <v>15</v>
      </c>
      <c r="AD1010" t="n">
        <v>1</v>
      </c>
      <c r="AE1010" t="n">
        <v>1</v>
      </c>
      <c r="AF1010" t="n">
        <v>1</v>
      </c>
      <c r="AG1010" t="n">
        <v>1</v>
      </c>
      <c r="AH1010" t="n">
        <v>0</v>
      </c>
      <c r="AI1010" t="n">
        <v>0</v>
      </c>
      <c r="AJ1010" t="n">
        <v>1</v>
      </c>
      <c r="AK1010" t="n">
        <v>1</v>
      </c>
      <c r="AL1010" t="n">
        <v>0</v>
      </c>
      <c r="AM1010" t="n">
        <v>0</v>
      </c>
      <c r="AN1010" t="n">
        <v>0</v>
      </c>
      <c r="AO1010" t="n">
        <v>0</v>
      </c>
      <c r="AP1010" t="n">
        <v>0</v>
      </c>
      <c r="AQ1010" t="n">
        <v>0</v>
      </c>
      <c r="AR1010" t="inlineStr">
        <is>
          <t>No</t>
        </is>
      </c>
      <c r="AS1010" t="inlineStr">
        <is>
          <t>No</t>
        </is>
      </c>
      <c r="AU1010">
        <f>HYPERLINK("https://creighton-primo.hosted.exlibrisgroup.com/primo-explore/search?tab=default_tab&amp;search_scope=EVERYTHING&amp;vid=01CRU&amp;lang=en_US&amp;offset=0&amp;query=any,contains,991003546139702656","Catalog Record")</f>
        <v/>
      </c>
      <c r="AV1010">
        <f>HYPERLINK("http://www.worldcat.org/oclc/44162775","WorldCat Record")</f>
        <v/>
      </c>
      <c r="AW1010" t="inlineStr">
        <is>
          <t>149114482:spa</t>
        </is>
      </c>
      <c r="AX1010" t="inlineStr">
        <is>
          <t>44162775</t>
        </is>
      </c>
      <c r="AY1010" t="inlineStr">
        <is>
          <t>991003546139702656</t>
        </is>
      </c>
      <c r="AZ1010" t="inlineStr">
        <is>
          <t>991003546139702656</t>
        </is>
      </c>
      <c r="BA1010" t="inlineStr">
        <is>
          <t>2256483440002656</t>
        </is>
      </c>
      <c r="BB1010" t="inlineStr">
        <is>
          <t>BOOK</t>
        </is>
      </c>
      <c r="BD1010" t="inlineStr">
        <is>
          <t>9789993400486</t>
        </is>
      </c>
      <c r="BE1010" t="inlineStr">
        <is>
          <t>32285004327234</t>
        </is>
      </c>
      <c r="BF1010" t="inlineStr">
        <is>
          <t>893318084</t>
        </is>
      </c>
    </row>
    <row r="1011">
      <c r="A1011" t="inlineStr">
        <is>
          <t>No</t>
        </is>
      </c>
      <c r="B1011" t="inlineStr">
        <is>
          <t>CURAL</t>
        </is>
      </c>
      <c r="C1011" t="inlineStr">
        <is>
          <t>SHELVES</t>
        </is>
      </c>
      <c r="D1011" t="inlineStr">
        <is>
          <t>PQ7409.G3 E67 1975</t>
        </is>
      </c>
      <c r="E1011" t="inlineStr">
        <is>
          <t>0                      PQ 7409000G  3                  E  67          1975</t>
        </is>
      </c>
      <c r="F1011" t="inlineStr">
        <is>
          <t>Manuel de Jesús Galván's Enriquillo = The cross and the sword / translated by Robert Graves.</t>
        </is>
      </c>
      <c r="H1011" t="inlineStr">
        <is>
          <t>No</t>
        </is>
      </c>
      <c r="I1011" t="inlineStr">
        <is>
          <t>1</t>
        </is>
      </c>
      <c r="J1011" t="inlineStr">
        <is>
          <t>No</t>
        </is>
      </c>
      <c r="K1011" t="inlineStr">
        <is>
          <t>No</t>
        </is>
      </c>
      <c r="L1011" t="inlineStr">
        <is>
          <t>0</t>
        </is>
      </c>
      <c r="M1011" t="inlineStr">
        <is>
          <t>Galván, Manuel de J. (Manuel de Jesús), 1834-1910.</t>
        </is>
      </c>
      <c r="N1011" t="inlineStr">
        <is>
          <t>New York : AMS Press, 1975.</t>
        </is>
      </c>
      <c r="O1011" t="inlineStr">
        <is>
          <t>1975</t>
        </is>
      </c>
      <c r="Q1011" t="inlineStr">
        <is>
          <t>eng</t>
        </is>
      </c>
      <c r="R1011" t="inlineStr">
        <is>
          <t>nyu</t>
        </is>
      </c>
      <c r="T1011" t="inlineStr">
        <is>
          <t xml:space="preserve">PQ </t>
        </is>
      </c>
      <c r="U1011" t="n">
        <v>4</v>
      </c>
      <c r="V1011" t="n">
        <v>4</v>
      </c>
      <c r="W1011" t="inlineStr">
        <is>
          <t>1998-03-27</t>
        </is>
      </c>
      <c r="X1011" t="inlineStr">
        <is>
          <t>1998-03-27</t>
        </is>
      </c>
      <c r="Y1011" t="inlineStr">
        <is>
          <t>1996-09-26</t>
        </is>
      </c>
      <c r="Z1011" t="inlineStr">
        <is>
          <t>1996-09-26</t>
        </is>
      </c>
      <c r="AA1011" t="n">
        <v>64</v>
      </c>
      <c r="AB1011" t="n">
        <v>56</v>
      </c>
      <c r="AC1011" t="n">
        <v>341</v>
      </c>
      <c r="AD1011" t="n">
        <v>1</v>
      </c>
      <c r="AE1011" t="n">
        <v>3</v>
      </c>
      <c r="AF1011" t="n">
        <v>3</v>
      </c>
      <c r="AG1011" t="n">
        <v>17</v>
      </c>
      <c r="AH1011" t="n">
        <v>0</v>
      </c>
      <c r="AI1011" t="n">
        <v>4</v>
      </c>
      <c r="AJ1011" t="n">
        <v>1</v>
      </c>
      <c r="AK1011" t="n">
        <v>6</v>
      </c>
      <c r="AL1011" t="n">
        <v>2</v>
      </c>
      <c r="AM1011" t="n">
        <v>10</v>
      </c>
      <c r="AN1011" t="n">
        <v>0</v>
      </c>
      <c r="AO1011" t="n">
        <v>2</v>
      </c>
      <c r="AP1011" t="n">
        <v>0</v>
      </c>
      <c r="AQ1011" t="n">
        <v>0</v>
      </c>
      <c r="AR1011" t="inlineStr">
        <is>
          <t>No</t>
        </is>
      </c>
      <c r="AS1011" t="inlineStr">
        <is>
          <t>Yes</t>
        </is>
      </c>
      <c r="AT1011">
        <f>HYPERLINK("http://catalog.hathitrust.org/Record/101104808","HathiTrust Record")</f>
        <v/>
      </c>
      <c r="AU1011">
        <f>HYPERLINK("https://creighton-primo.hosted.exlibrisgroup.com/primo-explore/search?tab=default_tab&amp;search_scope=EVERYTHING&amp;vid=01CRU&amp;lang=en_US&amp;offset=0&amp;query=any,contains,991003528639702656","Catalog Record")</f>
        <v/>
      </c>
      <c r="AV1011">
        <f>HYPERLINK("http://www.worldcat.org/oclc/1092456","WorldCat Record")</f>
        <v/>
      </c>
      <c r="AW1011" t="inlineStr">
        <is>
          <t>4469910992:eng</t>
        </is>
      </c>
      <c r="AX1011" t="inlineStr">
        <is>
          <t>1092456</t>
        </is>
      </c>
      <c r="AY1011" t="inlineStr">
        <is>
          <t>991003528639702656</t>
        </is>
      </c>
      <c r="AZ1011" t="inlineStr">
        <is>
          <t>991003528639702656</t>
        </is>
      </c>
      <c r="BA1011" t="inlineStr">
        <is>
          <t>2264321530002656</t>
        </is>
      </c>
      <c r="BB1011" t="inlineStr">
        <is>
          <t>BOOK</t>
        </is>
      </c>
      <c r="BD1011" t="inlineStr">
        <is>
          <t>9780404026752</t>
        </is>
      </c>
      <c r="BE1011" t="inlineStr">
        <is>
          <t>32285002320223</t>
        </is>
      </c>
      <c r="BF1011" t="inlineStr">
        <is>
          <t>893330383</t>
        </is>
      </c>
    </row>
    <row r="1012">
      <c r="A1012" t="inlineStr">
        <is>
          <t>No</t>
        </is>
      </c>
      <c r="B1012" t="inlineStr">
        <is>
          <t>CURAL</t>
        </is>
      </c>
      <c r="C1012" t="inlineStr">
        <is>
          <t>SHELVES</t>
        </is>
      </c>
      <c r="D1012" t="inlineStr">
        <is>
          <t>PQ7409.G39 A17 2000</t>
        </is>
      </c>
      <c r="E1012" t="inlineStr">
        <is>
          <t>0                      PQ 7409000G  39                 A  17          2000</t>
        </is>
      </c>
      <c r="F1012" t="inlineStr">
        <is>
          <t>Obra poética completa / Freddy Gatón Arce.</t>
        </is>
      </c>
      <c r="H1012" t="inlineStr">
        <is>
          <t>No</t>
        </is>
      </c>
      <c r="I1012" t="inlineStr">
        <is>
          <t>1</t>
        </is>
      </c>
      <c r="J1012" t="inlineStr">
        <is>
          <t>No</t>
        </is>
      </c>
      <c r="K1012" t="inlineStr">
        <is>
          <t>No</t>
        </is>
      </c>
      <c r="L1012" t="inlineStr">
        <is>
          <t>0</t>
        </is>
      </c>
      <c r="M1012" t="inlineStr">
        <is>
          <t>Gatón Arce, Freddy, 1920-1994.</t>
        </is>
      </c>
      <c r="N1012" t="inlineStr">
        <is>
          <t>Santo Domingo, República Dominicana : Universidad Central del Este, 2000.</t>
        </is>
      </c>
      <c r="O1012" t="inlineStr">
        <is>
          <t>2000</t>
        </is>
      </c>
      <c r="P1012" t="inlineStr">
        <is>
          <t>1. ed.</t>
        </is>
      </c>
      <c r="Q1012" t="inlineStr">
        <is>
          <t>spa</t>
        </is>
      </c>
      <c r="R1012" t="inlineStr">
        <is>
          <t xml:space="preserve">dr </t>
        </is>
      </c>
      <c r="T1012" t="inlineStr">
        <is>
          <t xml:space="preserve">PQ </t>
        </is>
      </c>
      <c r="U1012" t="n">
        <v>1</v>
      </c>
      <c r="V1012" t="n">
        <v>1</v>
      </c>
      <c r="W1012" t="inlineStr">
        <is>
          <t>2001-09-12</t>
        </is>
      </c>
      <c r="X1012" t="inlineStr">
        <is>
          <t>2001-09-12</t>
        </is>
      </c>
      <c r="Y1012" t="inlineStr">
        <is>
          <t>2001-09-11</t>
        </is>
      </c>
      <c r="Z1012" t="inlineStr">
        <is>
          <t>2001-09-11</t>
        </is>
      </c>
      <c r="AA1012" t="n">
        <v>35</v>
      </c>
      <c r="AB1012" t="n">
        <v>35</v>
      </c>
      <c r="AC1012" t="n">
        <v>37</v>
      </c>
      <c r="AD1012" t="n">
        <v>1</v>
      </c>
      <c r="AE1012" t="n">
        <v>1</v>
      </c>
      <c r="AF1012" t="n">
        <v>1</v>
      </c>
      <c r="AG1012" t="n">
        <v>1</v>
      </c>
      <c r="AH1012" t="n">
        <v>0</v>
      </c>
      <c r="AI1012" t="n">
        <v>0</v>
      </c>
      <c r="AJ1012" t="n">
        <v>1</v>
      </c>
      <c r="AK1012" t="n">
        <v>1</v>
      </c>
      <c r="AL1012" t="n">
        <v>0</v>
      </c>
      <c r="AM1012" t="n">
        <v>0</v>
      </c>
      <c r="AN1012" t="n">
        <v>0</v>
      </c>
      <c r="AO1012" t="n">
        <v>0</v>
      </c>
      <c r="AP1012" t="n">
        <v>0</v>
      </c>
      <c r="AQ1012" t="n">
        <v>0</v>
      </c>
      <c r="AR1012" t="inlineStr">
        <is>
          <t>No</t>
        </is>
      </c>
      <c r="AS1012" t="inlineStr">
        <is>
          <t>Yes</t>
        </is>
      </c>
      <c r="AT1012">
        <f>HYPERLINK("http://catalog.hathitrust.org/Record/007436879","HathiTrust Record")</f>
        <v/>
      </c>
      <c r="AU1012">
        <f>HYPERLINK("https://creighton-primo.hosted.exlibrisgroup.com/primo-explore/search?tab=default_tab&amp;search_scope=EVERYTHING&amp;vid=01CRU&amp;lang=en_US&amp;offset=0&amp;query=any,contains,991003546899702656","Catalog Record")</f>
        <v/>
      </c>
      <c r="AV1012">
        <f>HYPERLINK("http://www.worldcat.org/oclc/47781360","WorldCat Record")</f>
        <v/>
      </c>
      <c r="AW1012" t="inlineStr">
        <is>
          <t>339908215:spa</t>
        </is>
      </c>
      <c r="AX1012" t="inlineStr">
        <is>
          <t>47781360</t>
        </is>
      </c>
      <c r="AY1012" t="inlineStr">
        <is>
          <t>991003546899702656</t>
        </is>
      </c>
      <c r="AZ1012" t="inlineStr">
        <is>
          <t>991003546899702656</t>
        </is>
      </c>
      <c r="BA1012" t="inlineStr">
        <is>
          <t>2266321650002656</t>
        </is>
      </c>
      <c r="BB1012" t="inlineStr">
        <is>
          <t>BOOK</t>
        </is>
      </c>
      <c r="BD1012" t="inlineStr">
        <is>
          <t>9789993483106</t>
        </is>
      </c>
      <c r="BE1012" t="inlineStr">
        <is>
          <t>32285004390422</t>
        </is>
      </c>
      <c r="BF1012" t="inlineStr">
        <is>
          <t>893258548</t>
        </is>
      </c>
    </row>
    <row r="1013">
      <c r="A1013" t="inlineStr">
        <is>
          <t>No</t>
        </is>
      </c>
      <c r="B1013" t="inlineStr">
        <is>
          <t>CURAL</t>
        </is>
      </c>
      <c r="C1013" t="inlineStr">
        <is>
          <t>SHELVES</t>
        </is>
      </c>
      <c r="D1013" t="inlineStr">
        <is>
          <t>PQ7409.M58 A6 1999</t>
        </is>
      </c>
      <c r="E1013" t="inlineStr">
        <is>
          <t>0                      PQ 7409000M  58                 A  6           1999</t>
        </is>
      </c>
      <c r="F1013" t="inlineStr">
        <is>
          <t>Hay un país en el mundo y otros poemas / Pedro Mir.</t>
        </is>
      </c>
      <c r="H1013" t="inlineStr">
        <is>
          <t>No</t>
        </is>
      </c>
      <c r="I1013" t="inlineStr">
        <is>
          <t>1</t>
        </is>
      </c>
      <c r="J1013" t="inlineStr">
        <is>
          <t>No</t>
        </is>
      </c>
      <c r="K1013" t="inlineStr">
        <is>
          <t>Yes</t>
        </is>
      </c>
      <c r="L1013" t="inlineStr">
        <is>
          <t>0</t>
        </is>
      </c>
      <c r="M1013" t="inlineStr">
        <is>
          <t>Mir, Pedro.</t>
        </is>
      </c>
      <c r="N1013" t="inlineStr">
        <is>
          <t>Santo Domingo : Taller, c1999.</t>
        </is>
      </c>
      <c r="O1013" t="inlineStr">
        <is>
          <t>1999</t>
        </is>
      </c>
      <c r="P1013" t="inlineStr">
        <is>
          <t>Ed. ampliada.</t>
        </is>
      </c>
      <c r="Q1013" t="inlineStr">
        <is>
          <t>spa</t>
        </is>
      </c>
      <c r="R1013" t="inlineStr">
        <is>
          <t xml:space="preserve">dr </t>
        </is>
      </c>
      <c r="S1013" t="inlineStr">
        <is>
          <t>Biblioteca Taller ; no. 81</t>
        </is>
      </c>
      <c r="T1013" t="inlineStr">
        <is>
          <t xml:space="preserve">PQ </t>
        </is>
      </c>
      <c r="U1013" t="n">
        <v>0</v>
      </c>
      <c r="V1013" t="n">
        <v>0</v>
      </c>
      <c r="W1013" t="inlineStr">
        <is>
          <t>2003-01-13</t>
        </is>
      </c>
      <c r="X1013" t="inlineStr">
        <is>
          <t>2003-01-13</t>
        </is>
      </c>
      <c r="Y1013" t="inlineStr">
        <is>
          <t>1999-10-14</t>
        </is>
      </c>
      <c r="Z1013" t="inlineStr">
        <is>
          <t>1999-10-14</t>
        </is>
      </c>
      <c r="AA1013" t="n">
        <v>16</v>
      </c>
      <c r="AB1013" t="n">
        <v>15</v>
      </c>
      <c r="AC1013" t="n">
        <v>62</v>
      </c>
      <c r="AD1013" t="n">
        <v>1</v>
      </c>
      <c r="AE1013" t="n">
        <v>1</v>
      </c>
      <c r="AF1013" t="n">
        <v>1</v>
      </c>
      <c r="AG1013" t="n">
        <v>3</v>
      </c>
      <c r="AH1013" t="n">
        <v>0</v>
      </c>
      <c r="AI1013" t="n">
        <v>0</v>
      </c>
      <c r="AJ1013" t="n">
        <v>1</v>
      </c>
      <c r="AK1013" t="n">
        <v>2</v>
      </c>
      <c r="AL1013" t="n">
        <v>0</v>
      </c>
      <c r="AM1013" t="n">
        <v>1</v>
      </c>
      <c r="AN1013" t="n">
        <v>0</v>
      </c>
      <c r="AO1013" t="n">
        <v>0</v>
      </c>
      <c r="AP1013" t="n">
        <v>0</v>
      </c>
      <c r="AQ1013" t="n">
        <v>0</v>
      </c>
      <c r="AR1013" t="inlineStr">
        <is>
          <t>No</t>
        </is>
      </c>
      <c r="AS1013" t="inlineStr">
        <is>
          <t>Yes</t>
        </is>
      </c>
      <c r="AT1013">
        <f>HYPERLINK("http://catalog.hathitrust.org/Record/101104855","HathiTrust Record")</f>
        <v/>
      </c>
      <c r="AU1013">
        <f>HYPERLINK("https://creighton-primo.hosted.exlibrisgroup.com/primo-explore/search?tab=default_tab&amp;search_scope=EVERYTHING&amp;vid=01CRU&amp;lang=en_US&amp;offset=0&amp;query=any,contains,991003046399702656","Catalog Record")</f>
        <v/>
      </c>
      <c r="AV1013">
        <f>HYPERLINK("http://www.worldcat.org/oclc/42624744","WorldCat Record")</f>
        <v/>
      </c>
      <c r="AW1013" t="inlineStr">
        <is>
          <t>4820508718:spa</t>
        </is>
      </c>
      <c r="AX1013" t="inlineStr">
        <is>
          <t>42624744</t>
        </is>
      </c>
      <c r="AY1013" t="inlineStr">
        <is>
          <t>991003046399702656</t>
        </is>
      </c>
      <c r="AZ1013" t="inlineStr">
        <is>
          <t>991003046399702656</t>
        </is>
      </c>
      <c r="BA1013" t="inlineStr">
        <is>
          <t>2260380970002656</t>
        </is>
      </c>
      <c r="BB1013" t="inlineStr">
        <is>
          <t>BOOK</t>
        </is>
      </c>
      <c r="BD1013" t="inlineStr">
        <is>
          <t>9788484002987</t>
        </is>
      </c>
      <c r="BE1013" t="inlineStr">
        <is>
          <t>32285003610689</t>
        </is>
      </c>
      <c r="BF1013" t="inlineStr">
        <is>
          <t>893893327</t>
        </is>
      </c>
    </row>
    <row r="1014">
      <c r="A1014" t="inlineStr">
        <is>
          <t>No</t>
        </is>
      </c>
      <c r="B1014" t="inlineStr">
        <is>
          <t>CURAL</t>
        </is>
      </c>
      <c r="C1014" t="inlineStr">
        <is>
          <t>SHELVES</t>
        </is>
      </c>
      <c r="D1014" t="inlineStr">
        <is>
          <t>PQ7409.M7 Z76 2001</t>
        </is>
      </c>
      <c r="E1014" t="inlineStr">
        <is>
          <t>0                      PQ 7409000M  7                  Z  76          2001</t>
        </is>
      </c>
      <c r="F1014" t="inlineStr">
        <is>
          <t>El recorrido poético de Domingo Moreno Jimenes / Bárbara Moreno García.</t>
        </is>
      </c>
      <c r="H1014" t="inlineStr">
        <is>
          <t>No</t>
        </is>
      </c>
      <c r="I1014" t="inlineStr">
        <is>
          <t>1</t>
        </is>
      </c>
      <c r="J1014" t="inlineStr">
        <is>
          <t>No</t>
        </is>
      </c>
      <c r="K1014" t="inlineStr">
        <is>
          <t>No</t>
        </is>
      </c>
      <c r="L1014" t="inlineStr">
        <is>
          <t>0</t>
        </is>
      </c>
      <c r="M1014" t="inlineStr">
        <is>
          <t>Moreno García, Bárbara, 1964-</t>
        </is>
      </c>
      <c r="N1014" t="inlineStr">
        <is>
          <t>[Ulm, Germany? : s.n.] 2001.</t>
        </is>
      </c>
      <c r="O1014" t="inlineStr">
        <is>
          <t>2001</t>
        </is>
      </c>
      <c r="Q1014" t="inlineStr">
        <is>
          <t>spa</t>
        </is>
      </c>
      <c r="R1014" t="inlineStr">
        <is>
          <t xml:space="preserve">gw </t>
        </is>
      </c>
      <c r="T1014" t="inlineStr">
        <is>
          <t xml:space="preserve">PQ </t>
        </is>
      </c>
      <c r="U1014" t="n">
        <v>1</v>
      </c>
      <c r="V1014" t="n">
        <v>1</v>
      </c>
      <c r="W1014" t="inlineStr">
        <is>
          <t>2001-11-07</t>
        </is>
      </c>
      <c r="X1014" t="inlineStr">
        <is>
          <t>2001-11-07</t>
        </is>
      </c>
      <c r="Y1014" t="inlineStr">
        <is>
          <t>2001-11-06</t>
        </is>
      </c>
      <c r="Z1014" t="inlineStr">
        <is>
          <t>2001-11-06</t>
        </is>
      </c>
      <c r="AA1014" t="n">
        <v>21</v>
      </c>
      <c r="AB1014" t="n">
        <v>21</v>
      </c>
      <c r="AC1014" t="n">
        <v>22</v>
      </c>
      <c r="AD1014" t="n">
        <v>1</v>
      </c>
      <c r="AE1014" t="n">
        <v>1</v>
      </c>
      <c r="AF1014" t="n">
        <v>2</v>
      </c>
      <c r="AG1014" t="n">
        <v>2</v>
      </c>
      <c r="AH1014" t="n">
        <v>0</v>
      </c>
      <c r="AI1014" t="n">
        <v>0</v>
      </c>
      <c r="AJ1014" t="n">
        <v>1</v>
      </c>
      <c r="AK1014" t="n">
        <v>1</v>
      </c>
      <c r="AL1014" t="n">
        <v>1</v>
      </c>
      <c r="AM1014" t="n">
        <v>1</v>
      </c>
      <c r="AN1014" t="n">
        <v>0</v>
      </c>
      <c r="AO1014" t="n">
        <v>0</v>
      </c>
      <c r="AP1014" t="n">
        <v>0</v>
      </c>
      <c r="AQ1014" t="n">
        <v>0</v>
      </c>
      <c r="AR1014" t="inlineStr">
        <is>
          <t>No</t>
        </is>
      </c>
      <c r="AS1014" t="inlineStr">
        <is>
          <t>No</t>
        </is>
      </c>
      <c r="AU1014">
        <f>HYPERLINK("https://creighton-primo.hosted.exlibrisgroup.com/primo-explore/search?tab=default_tab&amp;search_scope=EVERYTHING&amp;vid=01CRU&amp;lang=en_US&amp;offset=0&amp;query=any,contains,991003670889702656","Catalog Record")</f>
        <v/>
      </c>
      <c r="AV1014">
        <f>HYPERLINK("http://www.worldcat.org/oclc/49959139","WorldCat Record")</f>
        <v/>
      </c>
      <c r="AW1014" t="inlineStr">
        <is>
          <t>365778865:spa</t>
        </is>
      </c>
      <c r="AX1014" t="inlineStr">
        <is>
          <t>49959139</t>
        </is>
      </c>
      <c r="AY1014" t="inlineStr">
        <is>
          <t>991003670889702656</t>
        </is>
      </c>
      <c r="AZ1014" t="inlineStr">
        <is>
          <t>991003670889702656</t>
        </is>
      </c>
      <c r="BA1014" t="inlineStr">
        <is>
          <t>2271470720002656</t>
        </is>
      </c>
      <c r="BB1014" t="inlineStr">
        <is>
          <t>BOOK</t>
        </is>
      </c>
      <c r="BE1014" t="inlineStr">
        <is>
          <t>32285004418520</t>
        </is>
      </c>
      <c r="BF1014" t="inlineStr">
        <is>
          <t>893505850</t>
        </is>
      </c>
    </row>
    <row r="1015">
      <c r="A1015" t="inlineStr">
        <is>
          <t>No</t>
        </is>
      </c>
      <c r="B1015" t="inlineStr">
        <is>
          <t>CURAL</t>
        </is>
      </c>
      <c r="C1015" t="inlineStr">
        <is>
          <t>SHELVES</t>
        </is>
      </c>
      <c r="D1015" t="inlineStr">
        <is>
          <t>PQ7409.P4 F32 1989</t>
        </is>
      </c>
      <c r="E1015" t="inlineStr">
        <is>
          <t>0                      PQ 7409000P  4                  F  32          1989</t>
        </is>
      </c>
      <c r="F1015" t="inlineStr">
        <is>
          <t>Fantasías indígenas y otros poemas / José Joaquín Pérez ; prólogo y notas de José Alcántara Almánzar.</t>
        </is>
      </c>
      <c r="H1015" t="inlineStr">
        <is>
          <t>No</t>
        </is>
      </c>
      <c r="I1015" t="inlineStr">
        <is>
          <t>1</t>
        </is>
      </c>
      <c r="J1015" t="inlineStr">
        <is>
          <t>No</t>
        </is>
      </c>
      <c r="K1015" t="inlineStr">
        <is>
          <t>No</t>
        </is>
      </c>
      <c r="L1015" t="inlineStr">
        <is>
          <t>0</t>
        </is>
      </c>
      <c r="M1015" t="inlineStr">
        <is>
          <t>Pérez, José Joaquín, 1845-1900.</t>
        </is>
      </c>
      <c r="N1015" t="inlineStr">
        <is>
          <t>Santo Domingo : Fundación Corripio, 1989.</t>
        </is>
      </c>
      <c r="O1015" t="inlineStr">
        <is>
          <t>1989</t>
        </is>
      </c>
      <c r="Q1015" t="inlineStr">
        <is>
          <t>spa</t>
        </is>
      </c>
      <c r="R1015" t="inlineStr">
        <is>
          <t xml:space="preserve">dr </t>
        </is>
      </c>
      <c r="S1015" t="inlineStr">
        <is>
          <t>Biblioteca de clásicos dominicanos ; v. 6</t>
        </is>
      </c>
      <c r="T1015" t="inlineStr">
        <is>
          <t xml:space="preserve">PQ </t>
        </is>
      </c>
      <c r="U1015" t="n">
        <v>1</v>
      </c>
      <c r="V1015" t="n">
        <v>1</v>
      </c>
      <c r="W1015" t="inlineStr">
        <is>
          <t>1996-05-29</t>
        </is>
      </c>
      <c r="X1015" t="inlineStr">
        <is>
          <t>1996-05-29</t>
        </is>
      </c>
      <c r="Y1015" t="inlineStr">
        <is>
          <t>1995-09-10</t>
        </is>
      </c>
      <c r="Z1015" t="inlineStr">
        <is>
          <t>1995-09-10</t>
        </is>
      </c>
      <c r="AA1015" t="n">
        <v>24</v>
      </c>
      <c r="AB1015" t="n">
        <v>22</v>
      </c>
      <c r="AC1015" t="n">
        <v>63</v>
      </c>
      <c r="AD1015" t="n">
        <v>1</v>
      </c>
      <c r="AE1015" t="n">
        <v>1</v>
      </c>
      <c r="AF1015" t="n">
        <v>1</v>
      </c>
      <c r="AG1015" t="n">
        <v>3</v>
      </c>
      <c r="AH1015" t="n">
        <v>0</v>
      </c>
      <c r="AI1015" t="n">
        <v>1</v>
      </c>
      <c r="AJ1015" t="n">
        <v>1</v>
      </c>
      <c r="AK1015" t="n">
        <v>2</v>
      </c>
      <c r="AL1015" t="n">
        <v>0</v>
      </c>
      <c r="AM1015" t="n">
        <v>0</v>
      </c>
      <c r="AN1015" t="n">
        <v>0</v>
      </c>
      <c r="AO1015" t="n">
        <v>0</v>
      </c>
      <c r="AP1015" t="n">
        <v>0</v>
      </c>
      <c r="AQ1015" t="n">
        <v>0</v>
      </c>
      <c r="AR1015" t="inlineStr">
        <is>
          <t>No</t>
        </is>
      </c>
      <c r="AS1015" t="inlineStr">
        <is>
          <t>Yes</t>
        </is>
      </c>
      <c r="AT1015">
        <f>HYPERLINK("http://catalog.hathitrust.org/Record/101929756","HathiTrust Record")</f>
        <v/>
      </c>
      <c r="AU1015">
        <f>HYPERLINK("https://creighton-primo.hosted.exlibrisgroup.com/primo-explore/search?tab=default_tab&amp;search_scope=EVERYTHING&amp;vid=01CRU&amp;lang=en_US&amp;offset=0&amp;query=any,contains,991002234679702656","Catalog Record")</f>
        <v/>
      </c>
      <c r="AV1015">
        <f>HYPERLINK("http://www.worldcat.org/oclc/28800378","WorldCat Record")</f>
        <v/>
      </c>
      <c r="AW1015" t="inlineStr">
        <is>
          <t>552047806:spa</t>
        </is>
      </c>
      <c r="AX1015" t="inlineStr">
        <is>
          <t>28800378</t>
        </is>
      </c>
      <c r="AY1015" t="inlineStr">
        <is>
          <t>991002234679702656</t>
        </is>
      </c>
      <c r="AZ1015" t="inlineStr">
        <is>
          <t>991002234679702656</t>
        </is>
      </c>
      <c r="BA1015" t="inlineStr">
        <is>
          <t>2258593530002656</t>
        </is>
      </c>
      <c r="BB1015" t="inlineStr">
        <is>
          <t>BOOK</t>
        </is>
      </c>
      <c r="BE1015" t="inlineStr">
        <is>
          <t>32285002093309</t>
        </is>
      </c>
      <c r="BF1015" t="inlineStr">
        <is>
          <t>893603350</t>
        </is>
      </c>
    </row>
    <row r="1016">
      <c r="A1016" t="inlineStr">
        <is>
          <t>No</t>
        </is>
      </c>
      <c r="B1016" t="inlineStr">
        <is>
          <t>CURAL</t>
        </is>
      </c>
      <c r="C1016" t="inlineStr">
        <is>
          <t>SHELVES</t>
        </is>
      </c>
      <c r="D1016" t="inlineStr">
        <is>
          <t>PQ7409.V4 B5 1984</t>
        </is>
      </c>
      <c r="E1016" t="inlineStr">
        <is>
          <t>0                      PQ 7409000V  4                  B  5           1984</t>
        </is>
      </c>
      <c r="F1016" t="inlineStr">
        <is>
          <t>La biografía difusa de Sombra Castañeda : novela / Marcio Veloz Maggiolo.</t>
        </is>
      </c>
      <c r="H1016" t="inlineStr">
        <is>
          <t>No</t>
        </is>
      </c>
      <c r="I1016" t="inlineStr">
        <is>
          <t>1</t>
        </is>
      </c>
      <c r="J1016" t="inlineStr">
        <is>
          <t>No</t>
        </is>
      </c>
      <c r="K1016" t="inlineStr">
        <is>
          <t>No</t>
        </is>
      </c>
      <c r="L1016" t="inlineStr">
        <is>
          <t>0</t>
        </is>
      </c>
      <c r="M1016" t="inlineStr">
        <is>
          <t>Veloz Maggiolo, Marcio.</t>
        </is>
      </c>
      <c r="N1016" t="inlineStr">
        <is>
          <t>Santo Domingo, República Dominicana : Taller, c1984.</t>
        </is>
      </c>
      <c r="O1016" t="inlineStr">
        <is>
          <t>1984</t>
        </is>
      </c>
      <c r="P1016" t="inlineStr">
        <is>
          <t>2a ed.</t>
        </is>
      </c>
      <c r="Q1016" t="inlineStr">
        <is>
          <t>spa</t>
        </is>
      </c>
      <c r="R1016" t="inlineStr">
        <is>
          <t xml:space="preserve">dr </t>
        </is>
      </c>
      <c r="S1016" t="inlineStr">
        <is>
          <t>Biblioteca Taller ; no. 168</t>
        </is>
      </c>
      <c r="T1016" t="inlineStr">
        <is>
          <t xml:space="preserve">PQ </t>
        </is>
      </c>
      <c r="U1016" t="n">
        <v>1</v>
      </c>
      <c r="V1016" t="n">
        <v>1</v>
      </c>
      <c r="W1016" t="inlineStr">
        <is>
          <t>2001-06-07</t>
        </is>
      </c>
      <c r="X1016" t="inlineStr">
        <is>
          <t>2001-06-07</t>
        </is>
      </c>
      <c r="Y1016" t="inlineStr">
        <is>
          <t>2001-06-07</t>
        </is>
      </c>
      <c r="Z1016" t="inlineStr">
        <is>
          <t>2001-06-07</t>
        </is>
      </c>
      <c r="AA1016" t="n">
        <v>45</v>
      </c>
      <c r="AB1016" t="n">
        <v>37</v>
      </c>
      <c r="AC1016" t="n">
        <v>83</v>
      </c>
      <c r="AD1016" t="n">
        <v>1</v>
      </c>
      <c r="AE1016" t="n">
        <v>1</v>
      </c>
      <c r="AF1016" t="n">
        <v>4</v>
      </c>
      <c r="AG1016" t="n">
        <v>5</v>
      </c>
      <c r="AH1016" t="n">
        <v>0</v>
      </c>
      <c r="AI1016" t="n">
        <v>0</v>
      </c>
      <c r="AJ1016" t="n">
        <v>1</v>
      </c>
      <c r="AK1016" t="n">
        <v>2</v>
      </c>
      <c r="AL1016" t="n">
        <v>3</v>
      </c>
      <c r="AM1016" t="n">
        <v>4</v>
      </c>
      <c r="AN1016" t="n">
        <v>0</v>
      </c>
      <c r="AO1016" t="n">
        <v>0</v>
      </c>
      <c r="AP1016" t="n">
        <v>0</v>
      </c>
      <c r="AQ1016" t="n">
        <v>0</v>
      </c>
      <c r="AR1016" t="inlineStr">
        <is>
          <t>No</t>
        </is>
      </c>
      <c r="AS1016" t="inlineStr">
        <is>
          <t>Yes</t>
        </is>
      </c>
      <c r="AT1016">
        <f>HYPERLINK("http://catalog.hathitrust.org/Record/101104893","HathiTrust Record")</f>
        <v/>
      </c>
      <c r="AU1016">
        <f>HYPERLINK("https://creighton-primo.hosted.exlibrisgroup.com/primo-explore/search?tab=default_tab&amp;search_scope=EVERYTHING&amp;vid=01CRU&amp;lang=en_US&amp;offset=0&amp;query=any,contains,991003555389702656","Catalog Record")</f>
        <v/>
      </c>
      <c r="AV1016">
        <f>HYPERLINK("http://www.worldcat.org/oclc/11009117","WorldCat Record")</f>
        <v/>
      </c>
      <c r="AW1016" t="inlineStr">
        <is>
          <t>365560815:spa</t>
        </is>
      </c>
      <c r="AX1016" t="inlineStr">
        <is>
          <t>11009117</t>
        </is>
      </c>
      <c r="AY1016" t="inlineStr">
        <is>
          <t>991003555389702656</t>
        </is>
      </c>
      <c r="AZ1016" t="inlineStr">
        <is>
          <t>991003555389702656</t>
        </is>
      </c>
      <c r="BA1016" t="inlineStr">
        <is>
          <t>2259567420002656</t>
        </is>
      </c>
      <c r="BB1016" t="inlineStr">
        <is>
          <t>BOOK</t>
        </is>
      </c>
      <c r="BE1016" t="inlineStr">
        <is>
          <t>32285004326160</t>
        </is>
      </c>
      <c r="BF1016" t="inlineStr">
        <is>
          <t>893505693</t>
        </is>
      </c>
    </row>
    <row r="1017">
      <c r="A1017" t="inlineStr">
        <is>
          <t>No</t>
        </is>
      </c>
      <c r="B1017" t="inlineStr">
        <is>
          <t>CURAL</t>
        </is>
      </c>
      <c r="C1017" t="inlineStr">
        <is>
          <t>SHELVES</t>
        </is>
      </c>
      <c r="D1017" t="inlineStr">
        <is>
          <t>PQ7409.V4 U5 1999</t>
        </is>
      </c>
      <c r="E1017" t="inlineStr">
        <is>
          <t>0                      PQ 7409000V  4                  U  5           1999</t>
        </is>
      </c>
      <c r="F1017" t="inlineStr">
        <is>
          <t>Uña y carne : memorias de la virilidad / Marcio Veloz Maggiolo.</t>
        </is>
      </c>
      <c r="H1017" t="inlineStr">
        <is>
          <t>No</t>
        </is>
      </c>
      <c r="I1017" t="inlineStr">
        <is>
          <t>1</t>
        </is>
      </c>
      <c r="J1017" t="inlineStr">
        <is>
          <t>No</t>
        </is>
      </c>
      <c r="K1017" t="inlineStr">
        <is>
          <t>No</t>
        </is>
      </c>
      <c r="L1017" t="inlineStr">
        <is>
          <t>0</t>
        </is>
      </c>
      <c r="M1017" t="inlineStr">
        <is>
          <t>Veloz Maggiolo, Marcio.</t>
        </is>
      </c>
      <c r="N1017" t="inlineStr">
        <is>
          <t>Santo Domingo, República Dominicana : Editora Cole, 1999.</t>
        </is>
      </c>
      <c r="O1017" t="inlineStr">
        <is>
          <t>1999</t>
        </is>
      </c>
      <c r="P1017" t="inlineStr">
        <is>
          <t>1a. ed.</t>
        </is>
      </c>
      <c r="Q1017" t="inlineStr">
        <is>
          <t>spa</t>
        </is>
      </c>
      <c r="R1017" t="inlineStr">
        <is>
          <t xml:space="preserve">dr </t>
        </is>
      </c>
      <c r="T1017" t="inlineStr">
        <is>
          <t xml:space="preserve">PQ </t>
        </is>
      </c>
      <c r="U1017" t="n">
        <v>2</v>
      </c>
      <c r="V1017" t="n">
        <v>2</v>
      </c>
      <c r="W1017" t="inlineStr">
        <is>
          <t>2002-07-09</t>
        </is>
      </c>
      <c r="X1017" t="inlineStr">
        <is>
          <t>2002-07-09</t>
        </is>
      </c>
      <c r="Y1017" t="inlineStr">
        <is>
          <t>2000-10-12</t>
        </is>
      </c>
      <c r="Z1017" t="inlineStr">
        <is>
          <t>2000-10-12</t>
        </is>
      </c>
      <c r="AA1017" t="n">
        <v>32</v>
      </c>
      <c r="AB1017" t="n">
        <v>31</v>
      </c>
      <c r="AC1017" t="n">
        <v>35</v>
      </c>
      <c r="AD1017" t="n">
        <v>1</v>
      </c>
      <c r="AE1017" t="n">
        <v>1</v>
      </c>
      <c r="AF1017" t="n">
        <v>2</v>
      </c>
      <c r="AG1017" t="n">
        <v>2</v>
      </c>
      <c r="AH1017" t="n">
        <v>0</v>
      </c>
      <c r="AI1017" t="n">
        <v>0</v>
      </c>
      <c r="AJ1017" t="n">
        <v>1</v>
      </c>
      <c r="AK1017" t="n">
        <v>1</v>
      </c>
      <c r="AL1017" t="n">
        <v>1</v>
      </c>
      <c r="AM1017" t="n">
        <v>1</v>
      </c>
      <c r="AN1017" t="n">
        <v>0</v>
      </c>
      <c r="AO1017" t="n">
        <v>0</v>
      </c>
      <c r="AP1017" t="n">
        <v>0</v>
      </c>
      <c r="AQ1017" t="n">
        <v>0</v>
      </c>
      <c r="AR1017" t="inlineStr">
        <is>
          <t>No</t>
        </is>
      </c>
      <c r="AS1017" t="inlineStr">
        <is>
          <t>Yes</t>
        </is>
      </c>
      <c r="AT1017">
        <f>HYPERLINK("http://catalog.hathitrust.org/Record/004131703","HathiTrust Record")</f>
        <v/>
      </c>
      <c r="AU1017">
        <f>HYPERLINK("https://creighton-primo.hosted.exlibrisgroup.com/primo-explore/search?tab=default_tab&amp;search_scope=EVERYTHING&amp;vid=01CRU&amp;lang=en_US&amp;offset=0&amp;query=any,contains,991003312479702656","Catalog Record")</f>
        <v/>
      </c>
      <c r="AV1017">
        <f>HYPERLINK("http://www.worldcat.org/oclc/43636245","WorldCat Record")</f>
        <v/>
      </c>
      <c r="AW1017" t="inlineStr">
        <is>
          <t>293122774:spa</t>
        </is>
      </c>
      <c r="AX1017" t="inlineStr">
        <is>
          <t>43636245</t>
        </is>
      </c>
      <c r="AY1017" t="inlineStr">
        <is>
          <t>991003312479702656</t>
        </is>
      </c>
      <c r="AZ1017" t="inlineStr">
        <is>
          <t>991003312479702656</t>
        </is>
      </c>
      <c r="BA1017" t="inlineStr">
        <is>
          <t>2269469970002656</t>
        </is>
      </c>
      <c r="BB1017" t="inlineStr">
        <is>
          <t>BOOK</t>
        </is>
      </c>
      <c r="BD1017" t="inlineStr">
        <is>
          <t>9788493063849</t>
        </is>
      </c>
      <c r="BE1017" t="inlineStr">
        <is>
          <t>32285003767596</t>
        </is>
      </c>
      <c r="BF1017" t="inlineStr">
        <is>
          <t>893610907</t>
        </is>
      </c>
    </row>
    <row r="1018">
      <c r="A1018" t="inlineStr">
        <is>
          <t>No</t>
        </is>
      </c>
      <c r="B1018" t="inlineStr">
        <is>
          <t>CURAL</t>
        </is>
      </c>
      <c r="C1018" t="inlineStr">
        <is>
          <t>SHELVES</t>
        </is>
      </c>
      <c r="D1018" t="inlineStr">
        <is>
          <t>PQ7439.M265 Z77</t>
        </is>
      </c>
      <c r="E1018" t="inlineStr">
        <is>
          <t>0                      PQ 7439000M  265                Z  77</t>
        </is>
      </c>
      <c r="F1018" t="inlineStr">
        <is>
          <t>René Marqués / Eleanor J. Martin. --</t>
        </is>
      </c>
      <c r="H1018" t="inlineStr">
        <is>
          <t>No</t>
        </is>
      </c>
      <c r="I1018" t="inlineStr">
        <is>
          <t>1</t>
        </is>
      </c>
      <c r="J1018" t="inlineStr">
        <is>
          <t>No</t>
        </is>
      </c>
      <c r="K1018" t="inlineStr">
        <is>
          <t>No</t>
        </is>
      </c>
      <c r="L1018" t="inlineStr">
        <is>
          <t>0</t>
        </is>
      </c>
      <c r="M1018" t="inlineStr">
        <is>
          <t>Martin, Eleanor J.</t>
        </is>
      </c>
      <c r="N1018" t="inlineStr">
        <is>
          <t>Boston : Twayne Publishers, c1979.</t>
        </is>
      </c>
      <c r="O1018" t="inlineStr">
        <is>
          <t>1979</t>
        </is>
      </c>
      <c r="Q1018" t="inlineStr">
        <is>
          <t>eng</t>
        </is>
      </c>
      <c r="R1018" t="inlineStr">
        <is>
          <t>mau</t>
        </is>
      </c>
      <c r="S1018" t="inlineStr">
        <is>
          <t>Twayne's world authors series ; TWAS 516 : Puerto Rico</t>
        </is>
      </c>
      <c r="T1018" t="inlineStr">
        <is>
          <t xml:space="preserve">PQ </t>
        </is>
      </c>
      <c r="U1018" t="n">
        <v>1</v>
      </c>
      <c r="V1018" t="n">
        <v>1</v>
      </c>
      <c r="W1018" t="inlineStr">
        <is>
          <t>2003-04-21</t>
        </is>
      </c>
      <c r="X1018" t="inlineStr">
        <is>
          <t>2003-04-21</t>
        </is>
      </c>
      <c r="Y1018" t="inlineStr">
        <is>
          <t>1991-08-13</t>
        </is>
      </c>
      <c r="Z1018" t="inlineStr">
        <is>
          <t>1991-08-13</t>
        </is>
      </c>
      <c r="AA1018" t="n">
        <v>564</v>
      </c>
      <c r="AB1018" t="n">
        <v>504</v>
      </c>
      <c r="AC1018" t="n">
        <v>513</v>
      </c>
      <c r="AD1018" t="n">
        <v>4</v>
      </c>
      <c r="AE1018" t="n">
        <v>4</v>
      </c>
      <c r="AF1018" t="n">
        <v>26</v>
      </c>
      <c r="AG1018" t="n">
        <v>26</v>
      </c>
      <c r="AH1018" t="n">
        <v>10</v>
      </c>
      <c r="AI1018" t="n">
        <v>10</v>
      </c>
      <c r="AJ1018" t="n">
        <v>9</v>
      </c>
      <c r="AK1018" t="n">
        <v>9</v>
      </c>
      <c r="AL1018" t="n">
        <v>12</v>
      </c>
      <c r="AM1018" t="n">
        <v>12</v>
      </c>
      <c r="AN1018" t="n">
        <v>3</v>
      </c>
      <c r="AO1018" t="n">
        <v>3</v>
      </c>
      <c r="AP1018" t="n">
        <v>0</v>
      </c>
      <c r="AQ1018" t="n">
        <v>0</v>
      </c>
      <c r="AR1018" t="inlineStr">
        <is>
          <t>No</t>
        </is>
      </c>
      <c r="AS1018" t="inlineStr">
        <is>
          <t>Yes</t>
        </is>
      </c>
      <c r="AT1018">
        <f>HYPERLINK("http://catalog.hathitrust.org/Record/000178452","HathiTrust Record")</f>
        <v/>
      </c>
      <c r="AU1018">
        <f>HYPERLINK("https://creighton-primo.hosted.exlibrisgroup.com/primo-explore/search?tab=default_tab&amp;search_scope=EVERYTHING&amp;vid=01CRU&amp;lang=en_US&amp;offset=0&amp;query=any,contains,991004580129702656","Catalog Record")</f>
        <v/>
      </c>
      <c r="AV1018">
        <f>HYPERLINK("http://www.worldcat.org/oclc/4056544","WorldCat Record")</f>
        <v/>
      </c>
      <c r="AW1018" t="inlineStr">
        <is>
          <t>13719833:eng</t>
        </is>
      </c>
      <c r="AX1018" t="inlineStr">
        <is>
          <t>4056544</t>
        </is>
      </c>
      <c r="AY1018" t="inlineStr">
        <is>
          <t>991004580129702656</t>
        </is>
      </c>
      <c r="AZ1018" t="inlineStr">
        <is>
          <t>991004580129702656</t>
        </is>
      </c>
      <c r="BA1018" t="inlineStr">
        <is>
          <t>2272052330002656</t>
        </is>
      </c>
      <c r="BB1018" t="inlineStr">
        <is>
          <t>BOOK</t>
        </is>
      </c>
      <c r="BD1018" t="inlineStr">
        <is>
          <t>9780805763577</t>
        </is>
      </c>
      <c r="BE1018" t="inlineStr">
        <is>
          <t>32285000683465</t>
        </is>
      </c>
      <c r="BF1018" t="inlineStr">
        <is>
          <t>893788881</t>
        </is>
      </c>
    </row>
    <row r="1019">
      <c r="A1019" t="inlineStr">
        <is>
          <t>No</t>
        </is>
      </c>
      <c r="B1019" t="inlineStr">
        <is>
          <t>CURAL</t>
        </is>
      </c>
      <c r="C1019" t="inlineStr">
        <is>
          <t>SHELVES</t>
        </is>
      </c>
      <c r="D1019" t="inlineStr">
        <is>
          <t>PQ7439.Z4 C5 1978</t>
        </is>
      </c>
      <c r="E1019" t="inlineStr">
        <is>
          <t>0                      PQ 7439000Z  4                  C  5           1978</t>
        </is>
      </c>
      <c r="F1019" t="inlineStr">
        <is>
          <t>La charca / Manuel Zeno Gandía ; prólogo y cronología, Enrique Laguerre.</t>
        </is>
      </c>
      <c r="H1019" t="inlineStr">
        <is>
          <t>No</t>
        </is>
      </c>
      <c r="I1019" t="inlineStr">
        <is>
          <t>1</t>
        </is>
      </c>
      <c r="J1019" t="inlineStr">
        <is>
          <t>No</t>
        </is>
      </c>
      <c r="K1019" t="inlineStr">
        <is>
          <t>No</t>
        </is>
      </c>
      <c r="L1019" t="inlineStr">
        <is>
          <t>0</t>
        </is>
      </c>
      <c r="M1019" t="inlineStr">
        <is>
          <t>Zeno Gandía, Manuel, 1855-1930.</t>
        </is>
      </c>
      <c r="N1019" t="inlineStr">
        <is>
          <t>Caracas, Venezuela : Biblioteca Ayacucho, [1978]</t>
        </is>
      </c>
      <c r="O1019" t="inlineStr">
        <is>
          <t>1978</t>
        </is>
      </c>
      <c r="Q1019" t="inlineStr">
        <is>
          <t>spa</t>
        </is>
      </c>
      <c r="R1019" t="inlineStr">
        <is>
          <t xml:space="preserve">ve </t>
        </is>
      </c>
      <c r="S1019" t="inlineStr">
        <is>
          <t>Biblioteca Ayacucho ; 55</t>
        </is>
      </c>
      <c r="T1019" t="inlineStr">
        <is>
          <t xml:space="preserve">PQ </t>
        </is>
      </c>
      <c r="U1019" t="n">
        <v>1</v>
      </c>
      <c r="V1019" t="n">
        <v>1</v>
      </c>
      <c r="W1019" t="inlineStr">
        <is>
          <t>2001-11-19</t>
        </is>
      </c>
      <c r="X1019" t="inlineStr">
        <is>
          <t>2001-11-19</t>
        </is>
      </c>
      <c r="Y1019" t="inlineStr">
        <is>
          <t>2001-11-19</t>
        </is>
      </c>
      <c r="Z1019" t="inlineStr">
        <is>
          <t>2001-11-19</t>
        </is>
      </c>
      <c r="AA1019" t="n">
        <v>152</v>
      </c>
      <c r="AB1019" t="n">
        <v>119</v>
      </c>
      <c r="AC1019" t="n">
        <v>464</v>
      </c>
      <c r="AD1019" t="n">
        <v>2</v>
      </c>
      <c r="AE1019" t="n">
        <v>3</v>
      </c>
      <c r="AF1019" t="n">
        <v>5</v>
      </c>
      <c r="AG1019" t="n">
        <v>21</v>
      </c>
      <c r="AH1019" t="n">
        <v>0</v>
      </c>
      <c r="AI1019" t="n">
        <v>7</v>
      </c>
      <c r="AJ1019" t="n">
        <v>3</v>
      </c>
      <c r="AK1019" t="n">
        <v>6</v>
      </c>
      <c r="AL1019" t="n">
        <v>3</v>
      </c>
      <c r="AM1019" t="n">
        <v>15</v>
      </c>
      <c r="AN1019" t="n">
        <v>1</v>
      </c>
      <c r="AO1019" t="n">
        <v>2</v>
      </c>
      <c r="AP1019" t="n">
        <v>0</v>
      </c>
      <c r="AQ1019" t="n">
        <v>0</v>
      </c>
      <c r="AR1019" t="inlineStr">
        <is>
          <t>No</t>
        </is>
      </c>
      <c r="AS1019" t="inlineStr">
        <is>
          <t>Yes</t>
        </is>
      </c>
      <c r="AT1019">
        <f>HYPERLINK("http://catalog.hathitrust.org/Record/007116324","HathiTrust Record")</f>
        <v/>
      </c>
      <c r="AU1019">
        <f>HYPERLINK("https://creighton-primo.hosted.exlibrisgroup.com/primo-explore/search?tab=default_tab&amp;search_scope=EVERYTHING&amp;vid=01CRU&amp;lang=en_US&amp;offset=0&amp;query=any,contains,991003681869702656","Catalog Record")</f>
        <v/>
      </c>
      <c r="AV1019">
        <f>HYPERLINK("http://www.worldcat.org/oclc/6725941","WorldCat Record")</f>
        <v/>
      </c>
      <c r="AW1019" t="inlineStr">
        <is>
          <t>27196007:spa</t>
        </is>
      </c>
      <c r="AX1019" t="inlineStr">
        <is>
          <t>6725941</t>
        </is>
      </c>
      <c r="AY1019" t="inlineStr">
        <is>
          <t>991003681869702656</t>
        </is>
      </c>
      <c r="AZ1019" t="inlineStr">
        <is>
          <t>991003681869702656</t>
        </is>
      </c>
      <c r="BA1019" t="inlineStr">
        <is>
          <t>2260071730002656</t>
        </is>
      </c>
      <c r="BB1019" t="inlineStr">
        <is>
          <t>BOOK</t>
        </is>
      </c>
      <c r="BE1019" t="inlineStr">
        <is>
          <t>32285004412432</t>
        </is>
      </c>
      <c r="BF1019" t="inlineStr">
        <is>
          <t>893318254</t>
        </is>
      </c>
    </row>
    <row r="1020">
      <c r="A1020" t="inlineStr">
        <is>
          <t>No</t>
        </is>
      </c>
      <c r="B1020" t="inlineStr">
        <is>
          <t>CURAL</t>
        </is>
      </c>
      <c r="C1020" t="inlineStr">
        <is>
          <t>SHELVES</t>
        </is>
      </c>
      <c r="D1020" t="inlineStr">
        <is>
          <t>PQ7440.L582 E52 1998</t>
        </is>
      </c>
      <c r="E1020" t="inlineStr">
        <is>
          <t>0                      PQ 7440000L  582                E  52          1998</t>
        </is>
      </c>
      <c r="F1020" t="inlineStr">
        <is>
          <t>En el nombre del hijo / Angela López Borrero.</t>
        </is>
      </c>
      <c r="H1020" t="inlineStr">
        <is>
          <t>No</t>
        </is>
      </c>
      <c r="I1020" t="inlineStr">
        <is>
          <t>1</t>
        </is>
      </c>
      <c r="J1020" t="inlineStr">
        <is>
          <t>No</t>
        </is>
      </c>
      <c r="K1020" t="inlineStr">
        <is>
          <t>No</t>
        </is>
      </c>
      <c r="L1020" t="inlineStr">
        <is>
          <t>0</t>
        </is>
      </c>
      <c r="M1020" t="inlineStr">
        <is>
          <t>López Borrero, Angela.</t>
        </is>
      </c>
      <c r="N1020" t="inlineStr">
        <is>
          <t>San Juan, P.R. : Editorial de la Universidad de Puerto Rico, 1998.</t>
        </is>
      </c>
      <c r="O1020" t="inlineStr">
        <is>
          <t>1998</t>
        </is>
      </c>
      <c r="P1020" t="inlineStr">
        <is>
          <t>1. ed.</t>
        </is>
      </c>
      <c r="Q1020" t="inlineStr">
        <is>
          <t>spa</t>
        </is>
      </c>
      <c r="R1020" t="inlineStr">
        <is>
          <t xml:space="preserve">pr </t>
        </is>
      </c>
      <c r="T1020" t="inlineStr">
        <is>
          <t xml:space="preserve">PQ </t>
        </is>
      </c>
      <c r="U1020" t="n">
        <v>2</v>
      </c>
      <c r="V1020" t="n">
        <v>2</v>
      </c>
      <c r="W1020" t="inlineStr">
        <is>
          <t>2000-09-20</t>
        </is>
      </c>
      <c r="X1020" t="inlineStr">
        <is>
          <t>2000-09-20</t>
        </is>
      </c>
      <c r="Y1020" t="inlineStr">
        <is>
          <t>2000-09-20</t>
        </is>
      </c>
      <c r="Z1020" t="inlineStr">
        <is>
          <t>2000-09-20</t>
        </is>
      </c>
      <c r="AA1020" t="n">
        <v>76</v>
      </c>
      <c r="AB1020" t="n">
        <v>75</v>
      </c>
      <c r="AC1020" t="n">
        <v>79</v>
      </c>
      <c r="AD1020" t="n">
        <v>1</v>
      </c>
      <c r="AE1020" t="n">
        <v>1</v>
      </c>
      <c r="AF1020" t="n">
        <v>1</v>
      </c>
      <c r="AG1020" t="n">
        <v>1</v>
      </c>
      <c r="AH1020" t="n">
        <v>0</v>
      </c>
      <c r="AI1020" t="n">
        <v>0</v>
      </c>
      <c r="AJ1020" t="n">
        <v>1</v>
      </c>
      <c r="AK1020" t="n">
        <v>1</v>
      </c>
      <c r="AL1020" t="n">
        <v>1</v>
      </c>
      <c r="AM1020" t="n">
        <v>1</v>
      </c>
      <c r="AN1020" t="n">
        <v>0</v>
      </c>
      <c r="AO1020" t="n">
        <v>0</v>
      </c>
      <c r="AP1020" t="n">
        <v>0</v>
      </c>
      <c r="AQ1020" t="n">
        <v>0</v>
      </c>
      <c r="AR1020" t="inlineStr">
        <is>
          <t>No</t>
        </is>
      </c>
      <c r="AS1020" t="inlineStr">
        <is>
          <t>Yes</t>
        </is>
      </c>
      <c r="AT1020">
        <f>HYPERLINK("http://catalog.hathitrust.org/Record/004121769","HathiTrust Record")</f>
        <v/>
      </c>
      <c r="AU1020">
        <f>HYPERLINK("https://creighton-primo.hosted.exlibrisgroup.com/primo-explore/search?tab=default_tab&amp;search_scope=EVERYTHING&amp;vid=01CRU&amp;lang=en_US&amp;offset=0&amp;query=any,contains,991003254229702656","Catalog Record")</f>
        <v/>
      </c>
      <c r="AV1020">
        <f>HYPERLINK("http://www.worldcat.org/oclc/41068549","WorldCat Record")</f>
        <v/>
      </c>
      <c r="AW1020" t="inlineStr">
        <is>
          <t>26642506:spa</t>
        </is>
      </c>
      <c r="AX1020" t="inlineStr">
        <is>
          <t>41068549</t>
        </is>
      </c>
      <c r="AY1020" t="inlineStr">
        <is>
          <t>991003254229702656</t>
        </is>
      </c>
      <c r="AZ1020" t="inlineStr">
        <is>
          <t>991003254229702656</t>
        </is>
      </c>
      <c r="BA1020" t="inlineStr">
        <is>
          <t>2270200210002656</t>
        </is>
      </c>
      <c r="BB1020" t="inlineStr">
        <is>
          <t>BOOK</t>
        </is>
      </c>
      <c r="BD1020" t="inlineStr">
        <is>
          <t>9780847703609</t>
        </is>
      </c>
      <c r="BE1020" t="inlineStr">
        <is>
          <t>32285003763488</t>
        </is>
      </c>
      <c r="BF1020" t="inlineStr">
        <is>
          <t>893717471</t>
        </is>
      </c>
    </row>
    <row r="1021">
      <c r="A1021" t="inlineStr">
        <is>
          <t>No</t>
        </is>
      </c>
      <c r="B1021" t="inlineStr">
        <is>
          <t>CURAL</t>
        </is>
      </c>
      <c r="C1021" t="inlineStr">
        <is>
          <t>SHELVES</t>
        </is>
      </c>
      <c r="D1021" t="inlineStr">
        <is>
          <t>PQ7440.M23 D53 1998</t>
        </is>
      </c>
      <c r="E1021" t="inlineStr">
        <is>
          <t>0                      PQ 7440000M  23                 D  53          1998</t>
        </is>
      </c>
      <c r="F1021" t="inlineStr">
        <is>
          <t>Dialecto : cuentos / Luis Martain Gaomez.</t>
        </is>
      </c>
      <c r="H1021" t="inlineStr">
        <is>
          <t>No</t>
        </is>
      </c>
      <c r="I1021" t="inlineStr">
        <is>
          <t>1</t>
        </is>
      </c>
      <c r="J1021" t="inlineStr">
        <is>
          <t>No</t>
        </is>
      </c>
      <c r="K1021" t="inlineStr">
        <is>
          <t>No</t>
        </is>
      </c>
      <c r="L1021" t="inlineStr">
        <is>
          <t>0</t>
        </is>
      </c>
      <c r="M1021" t="inlineStr">
        <is>
          <t>Martain Gaomez, Luis, 1962-</t>
        </is>
      </c>
      <c r="N1021" t="inlineStr">
        <is>
          <t>[Santo Domingo, Rep. Dom.] : El Arco y la Lira, 1998.</t>
        </is>
      </c>
      <c r="O1021" t="inlineStr">
        <is>
          <t>1998</t>
        </is>
      </c>
      <c r="Q1021" t="inlineStr">
        <is>
          <t>spa</t>
        </is>
      </c>
      <c r="R1021" t="inlineStr">
        <is>
          <t xml:space="preserve">dr </t>
        </is>
      </c>
      <c r="T1021" t="inlineStr">
        <is>
          <t xml:space="preserve">PQ </t>
        </is>
      </c>
      <c r="U1021" t="n">
        <v>2</v>
      </c>
      <c r="V1021" t="n">
        <v>2</v>
      </c>
      <c r="W1021" t="inlineStr">
        <is>
          <t>2001-05-16</t>
        </is>
      </c>
      <c r="X1021" t="inlineStr">
        <is>
          <t>2001-05-16</t>
        </is>
      </c>
      <c r="Y1021" t="inlineStr">
        <is>
          <t>2001-04-11</t>
        </is>
      </c>
      <c r="Z1021" t="inlineStr">
        <is>
          <t>2001-04-11</t>
        </is>
      </c>
      <c r="AA1021" t="n">
        <v>11</v>
      </c>
      <c r="AB1021" t="n">
        <v>11</v>
      </c>
      <c r="AC1021" t="n">
        <v>11</v>
      </c>
      <c r="AD1021" t="n">
        <v>1</v>
      </c>
      <c r="AE1021" t="n">
        <v>1</v>
      </c>
      <c r="AF1021" t="n">
        <v>1</v>
      </c>
      <c r="AG1021" t="n">
        <v>1</v>
      </c>
      <c r="AH1021" t="n">
        <v>0</v>
      </c>
      <c r="AI1021" t="n">
        <v>0</v>
      </c>
      <c r="AJ1021" t="n">
        <v>0</v>
      </c>
      <c r="AK1021" t="n">
        <v>0</v>
      </c>
      <c r="AL1021" t="n">
        <v>1</v>
      </c>
      <c r="AM1021" t="n">
        <v>1</v>
      </c>
      <c r="AN1021" t="n">
        <v>0</v>
      </c>
      <c r="AO1021" t="n">
        <v>0</v>
      </c>
      <c r="AP1021" t="n">
        <v>0</v>
      </c>
      <c r="AQ1021" t="n">
        <v>0</v>
      </c>
      <c r="AR1021" t="inlineStr">
        <is>
          <t>No</t>
        </is>
      </c>
      <c r="AS1021" t="inlineStr">
        <is>
          <t>No</t>
        </is>
      </c>
      <c r="AU1021">
        <f>HYPERLINK("https://creighton-primo.hosted.exlibrisgroup.com/primo-explore/search?tab=default_tab&amp;search_scope=EVERYTHING&amp;vid=01CRU&amp;lang=en_US&amp;offset=0&amp;query=any,contains,991003247129702656","Catalog Record")</f>
        <v/>
      </c>
      <c r="AV1021">
        <f>HYPERLINK("http://www.worldcat.org/oclc/43930222","WorldCat Record")</f>
        <v/>
      </c>
      <c r="AW1021" t="inlineStr">
        <is>
          <t>33520742:spa</t>
        </is>
      </c>
      <c r="AX1021" t="inlineStr">
        <is>
          <t>43930222</t>
        </is>
      </c>
      <c r="AY1021" t="inlineStr">
        <is>
          <t>991003247129702656</t>
        </is>
      </c>
      <c r="AZ1021" t="inlineStr">
        <is>
          <t>991003247129702656</t>
        </is>
      </c>
      <c r="BA1021" t="inlineStr">
        <is>
          <t>2254759070002656</t>
        </is>
      </c>
      <c r="BB1021" t="inlineStr">
        <is>
          <t>BOOK</t>
        </is>
      </c>
      <c r="BE1021" t="inlineStr">
        <is>
          <t>32285004312020</t>
        </is>
      </c>
      <c r="BF1021" t="inlineStr">
        <is>
          <t>893610856</t>
        </is>
      </c>
    </row>
    <row r="1022">
      <c r="A1022" t="inlineStr">
        <is>
          <t>No</t>
        </is>
      </c>
      <c r="B1022" t="inlineStr">
        <is>
          <t>CURAL</t>
        </is>
      </c>
      <c r="C1022" t="inlineStr">
        <is>
          <t>SHELVES</t>
        </is>
      </c>
      <c r="D1022" t="inlineStr">
        <is>
          <t>PQ7440.N55 E6 2002</t>
        </is>
      </c>
      <c r="E1022" t="inlineStr">
        <is>
          <t>0                      PQ 7440000N  55                 E  6           2002</t>
        </is>
      </c>
      <c r="F1022" t="inlineStr">
        <is>
          <t>En traansito y otros relatos / Daniel Nina.</t>
        </is>
      </c>
      <c r="H1022" t="inlineStr">
        <is>
          <t>No</t>
        </is>
      </c>
      <c r="I1022" t="inlineStr">
        <is>
          <t>1</t>
        </is>
      </c>
      <c r="J1022" t="inlineStr">
        <is>
          <t>No</t>
        </is>
      </c>
      <c r="K1022" t="inlineStr">
        <is>
          <t>No</t>
        </is>
      </c>
      <c r="L1022" t="inlineStr">
        <is>
          <t>0</t>
        </is>
      </c>
      <c r="M1022" t="inlineStr">
        <is>
          <t>Nina, Daniel.</t>
        </is>
      </c>
      <c r="N1022" t="inlineStr">
        <is>
          <t>San Juan, P.R. : Isla Negra Editores, c2002.</t>
        </is>
      </c>
      <c r="O1022" t="inlineStr">
        <is>
          <t>2002</t>
        </is>
      </c>
      <c r="Q1022" t="inlineStr">
        <is>
          <t>spa</t>
        </is>
      </c>
      <c r="R1022" t="inlineStr">
        <is>
          <t xml:space="preserve">pr </t>
        </is>
      </c>
      <c r="S1022" t="inlineStr">
        <is>
          <t>Colección El rostro y la máscara</t>
        </is>
      </c>
      <c r="T1022" t="inlineStr">
        <is>
          <t xml:space="preserve">PQ </t>
        </is>
      </c>
      <c r="U1022" t="n">
        <v>1</v>
      </c>
      <c r="V1022" t="n">
        <v>1</v>
      </c>
      <c r="W1022" t="inlineStr">
        <is>
          <t>2004-04-15</t>
        </is>
      </c>
      <c r="X1022" t="inlineStr">
        <is>
          <t>2004-04-15</t>
        </is>
      </c>
      <c r="Y1022" t="inlineStr">
        <is>
          <t>2004-04-15</t>
        </is>
      </c>
      <c r="Z1022" t="inlineStr">
        <is>
          <t>2004-04-15</t>
        </is>
      </c>
      <c r="AA1022" t="n">
        <v>24</v>
      </c>
      <c r="AB1022" t="n">
        <v>24</v>
      </c>
      <c r="AC1022" t="n">
        <v>24</v>
      </c>
      <c r="AD1022" t="n">
        <v>1</v>
      </c>
      <c r="AE1022" t="n">
        <v>1</v>
      </c>
      <c r="AF1022" t="n">
        <v>1</v>
      </c>
      <c r="AG1022" t="n">
        <v>1</v>
      </c>
      <c r="AH1022" t="n">
        <v>0</v>
      </c>
      <c r="AI1022" t="n">
        <v>0</v>
      </c>
      <c r="AJ1022" t="n">
        <v>1</v>
      </c>
      <c r="AK1022" t="n">
        <v>1</v>
      </c>
      <c r="AL1022" t="n">
        <v>0</v>
      </c>
      <c r="AM1022" t="n">
        <v>0</v>
      </c>
      <c r="AN1022" t="n">
        <v>0</v>
      </c>
      <c r="AO1022" t="n">
        <v>0</v>
      </c>
      <c r="AP1022" t="n">
        <v>0</v>
      </c>
      <c r="AQ1022" t="n">
        <v>0</v>
      </c>
      <c r="AR1022" t="inlineStr">
        <is>
          <t>No</t>
        </is>
      </c>
      <c r="AS1022" t="inlineStr">
        <is>
          <t>No</t>
        </is>
      </c>
      <c r="AU1022">
        <f>HYPERLINK("https://creighton-primo.hosted.exlibrisgroup.com/primo-explore/search?tab=default_tab&amp;search_scope=EVERYTHING&amp;vid=01CRU&amp;lang=en_US&amp;offset=0&amp;query=any,contains,991004209009702656","Catalog Record")</f>
        <v/>
      </c>
      <c r="AV1022">
        <f>HYPERLINK("http://www.worldcat.org/oclc/54356315","WorldCat Record")</f>
        <v/>
      </c>
      <c r="AW1022" t="inlineStr">
        <is>
          <t>12407307:spa</t>
        </is>
      </c>
      <c r="AX1022" t="inlineStr">
        <is>
          <t>54356315</t>
        </is>
      </c>
      <c r="AY1022" t="inlineStr">
        <is>
          <t>991004209009702656</t>
        </is>
      </c>
      <c r="AZ1022" t="inlineStr">
        <is>
          <t>991004209009702656</t>
        </is>
      </c>
      <c r="BA1022" t="inlineStr">
        <is>
          <t>2272160320002656</t>
        </is>
      </c>
      <c r="BB1022" t="inlineStr">
        <is>
          <t>BOOK</t>
        </is>
      </c>
      <c r="BD1022" t="inlineStr">
        <is>
          <t>9781932271034</t>
        </is>
      </c>
      <c r="BE1022" t="inlineStr">
        <is>
          <t>32285004899448</t>
        </is>
      </c>
      <c r="BF1022" t="inlineStr">
        <is>
          <t>893593415</t>
        </is>
      </c>
    </row>
    <row r="1023">
      <c r="A1023" t="inlineStr">
        <is>
          <t>No</t>
        </is>
      </c>
      <c r="B1023" t="inlineStr">
        <is>
          <t>CURAL</t>
        </is>
      </c>
      <c r="C1023" t="inlineStr">
        <is>
          <t>SHELVES</t>
        </is>
      </c>
      <c r="D1023" t="inlineStr">
        <is>
          <t>PQ7440.S235 G813 2001</t>
        </is>
      </c>
      <c r="E1023" t="inlineStr">
        <is>
          <t>0                      PQ 7440000S  235                G  813         2001</t>
        </is>
      </c>
      <c r="F1023" t="inlineStr">
        <is>
          <t>Macho Camacho's beat / Luis Rafael Sánchez ; translated with an introduction by Gregory Rabassa.</t>
        </is>
      </c>
      <c r="H1023" t="inlineStr">
        <is>
          <t>No</t>
        </is>
      </c>
      <c r="I1023" t="inlineStr">
        <is>
          <t>1</t>
        </is>
      </c>
      <c r="J1023" t="inlineStr">
        <is>
          <t>No</t>
        </is>
      </c>
      <c r="K1023" t="inlineStr">
        <is>
          <t>No</t>
        </is>
      </c>
      <c r="L1023" t="inlineStr">
        <is>
          <t>0</t>
        </is>
      </c>
      <c r="M1023" t="inlineStr">
        <is>
          <t>Sánchez, Luis Rafael.</t>
        </is>
      </c>
      <c r="N1023" t="inlineStr">
        <is>
          <t>Normal, IL : Dalkey Archive Press, 2001.</t>
        </is>
      </c>
      <c r="O1023" t="inlineStr">
        <is>
          <t>2001</t>
        </is>
      </c>
      <c r="P1023" t="inlineStr">
        <is>
          <t>1st Dalkey archive ed.</t>
        </is>
      </c>
      <c r="Q1023" t="inlineStr">
        <is>
          <t>eng</t>
        </is>
      </c>
      <c r="R1023" t="inlineStr">
        <is>
          <t>ilu</t>
        </is>
      </c>
      <c r="T1023" t="inlineStr">
        <is>
          <t xml:space="preserve">PQ </t>
        </is>
      </c>
      <c r="U1023" t="n">
        <v>3</v>
      </c>
      <c r="V1023" t="n">
        <v>3</v>
      </c>
      <c r="W1023" t="inlineStr">
        <is>
          <t>2005-04-05</t>
        </is>
      </c>
      <c r="X1023" t="inlineStr">
        <is>
          <t>2005-04-05</t>
        </is>
      </c>
      <c r="Y1023" t="inlineStr">
        <is>
          <t>2005-04-05</t>
        </is>
      </c>
      <c r="Z1023" t="inlineStr">
        <is>
          <t>2005-04-05</t>
        </is>
      </c>
      <c r="AA1023" t="n">
        <v>243</v>
      </c>
      <c r="AB1023" t="n">
        <v>233</v>
      </c>
      <c r="AC1023" t="n">
        <v>563</v>
      </c>
      <c r="AD1023" t="n">
        <v>4</v>
      </c>
      <c r="AE1023" t="n">
        <v>5</v>
      </c>
      <c r="AF1023" t="n">
        <v>14</v>
      </c>
      <c r="AG1023" t="n">
        <v>28</v>
      </c>
      <c r="AH1023" t="n">
        <v>6</v>
      </c>
      <c r="AI1023" t="n">
        <v>11</v>
      </c>
      <c r="AJ1023" t="n">
        <v>2</v>
      </c>
      <c r="AK1023" t="n">
        <v>6</v>
      </c>
      <c r="AL1023" t="n">
        <v>6</v>
      </c>
      <c r="AM1023" t="n">
        <v>14</v>
      </c>
      <c r="AN1023" t="n">
        <v>3</v>
      </c>
      <c r="AO1023" t="n">
        <v>4</v>
      </c>
      <c r="AP1023" t="n">
        <v>0</v>
      </c>
      <c r="AQ1023" t="n">
        <v>0</v>
      </c>
      <c r="AR1023" t="inlineStr">
        <is>
          <t>No</t>
        </is>
      </c>
      <c r="AS1023" t="inlineStr">
        <is>
          <t>No</t>
        </is>
      </c>
      <c r="AU1023">
        <f>HYPERLINK("https://creighton-primo.hosted.exlibrisgroup.com/primo-explore/search?tab=default_tab&amp;search_scope=EVERYTHING&amp;vid=01CRU&amp;lang=en_US&amp;offset=0&amp;query=any,contains,991004503999702656","Catalog Record")</f>
        <v/>
      </c>
      <c r="AV1023">
        <f>HYPERLINK("http://www.worldcat.org/oclc/44594117","WorldCat Record")</f>
        <v/>
      </c>
      <c r="AW1023" t="inlineStr">
        <is>
          <t>452367:eng</t>
        </is>
      </c>
      <c r="AX1023" t="inlineStr">
        <is>
          <t>44594117</t>
        </is>
      </c>
      <c r="AY1023" t="inlineStr">
        <is>
          <t>991004503999702656</t>
        </is>
      </c>
      <c r="AZ1023" t="inlineStr">
        <is>
          <t>991004503999702656</t>
        </is>
      </c>
      <c r="BA1023" t="inlineStr">
        <is>
          <t>2267263120002656</t>
        </is>
      </c>
      <c r="BB1023" t="inlineStr">
        <is>
          <t>BOOK</t>
        </is>
      </c>
      <c r="BD1023" t="inlineStr">
        <is>
          <t>9781564782588</t>
        </is>
      </c>
      <c r="BE1023" t="inlineStr">
        <is>
          <t>32285005047294</t>
        </is>
      </c>
      <c r="BF1023" t="inlineStr">
        <is>
          <t>893500659</t>
        </is>
      </c>
    </row>
    <row r="1024">
      <c r="A1024" t="inlineStr">
        <is>
          <t>No</t>
        </is>
      </c>
      <c r="B1024" t="inlineStr">
        <is>
          <t>CURAL</t>
        </is>
      </c>
      <c r="C1024" t="inlineStr">
        <is>
          <t>SHELVES</t>
        </is>
      </c>
      <c r="D1024" t="inlineStr">
        <is>
          <t>PQ7440.S235 N6 1998</t>
        </is>
      </c>
      <c r="E1024" t="inlineStr">
        <is>
          <t>0                      PQ 7440000S  235                N  6           1998</t>
        </is>
      </c>
      <c r="F1024" t="inlineStr">
        <is>
          <t>No llores por nosotros, Puerto Rico / Luis Rafael Sánchez.</t>
        </is>
      </c>
      <c r="H1024" t="inlineStr">
        <is>
          <t>No</t>
        </is>
      </c>
      <c r="I1024" t="inlineStr">
        <is>
          <t>1</t>
        </is>
      </c>
      <c r="J1024" t="inlineStr">
        <is>
          <t>No</t>
        </is>
      </c>
      <c r="K1024" t="inlineStr">
        <is>
          <t>No</t>
        </is>
      </c>
      <c r="L1024" t="inlineStr">
        <is>
          <t>0</t>
        </is>
      </c>
      <c r="M1024" t="inlineStr">
        <is>
          <t>Sánchez, Luis Rafael.</t>
        </is>
      </c>
      <c r="N1024" t="inlineStr">
        <is>
          <t>Hanover, NH : Ediciones del Norte, 1998.</t>
        </is>
      </c>
      <c r="O1024" t="inlineStr">
        <is>
          <t>1998</t>
        </is>
      </c>
      <c r="P1024" t="inlineStr">
        <is>
          <t>4. ed.</t>
        </is>
      </c>
      <c r="Q1024" t="inlineStr">
        <is>
          <t>spa</t>
        </is>
      </c>
      <c r="R1024" t="inlineStr">
        <is>
          <t>nhu</t>
        </is>
      </c>
      <c r="S1024" t="inlineStr">
        <is>
          <t>Serie Rama ; 511</t>
        </is>
      </c>
      <c r="T1024" t="inlineStr">
        <is>
          <t xml:space="preserve">PQ </t>
        </is>
      </c>
      <c r="U1024" t="n">
        <v>1</v>
      </c>
      <c r="V1024" t="n">
        <v>1</v>
      </c>
      <c r="W1024" t="inlineStr">
        <is>
          <t>2004-01-19</t>
        </is>
      </c>
      <c r="X1024" t="inlineStr">
        <is>
          <t>2004-01-19</t>
        </is>
      </c>
      <c r="Y1024" t="inlineStr">
        <is>
          <t>2004-01-19</t>
        </is>
      </c>
      <c r="Z1024" t="inlineStr">
        <is>
          <t>2004-01-19</t>
        </is>
      </c>
      <c r="AA1024" t="n">
        <v>78</v>
      </c>
      <c r="AB1024" t="n">
        <v>70</v>
      </c>
      <c r="AC1024" t="n">
        <v>72</v>
      </c>
      <c r="AD1024" t="n">
        <v>1</v>
      </c>
      <c r="AE1024" t="n">
        <v>1</v>
      </c>
      <c r="AF1024" t="n">
        <v>2</v>
      </c>
      <c r="AG1024" t="n">
        <v>2</v>
      </c>
      <c r="AH1024" t="n">
        <v>0</v>
      </c>
      <c r="AI1024" t="n">
        <v>0</v>
      </c>
      <c r="AJ1024" t="n">
        <v>2</v>
      </c>
      <c r="AK1024" t="n">
        <v>2</v>
      </c>
      <c r="AL1024" t="n">
        <v>2</v>
      </c>
      <c r="AM1024" t="n">
        <v>2</v>
      </c>
      <c r="AN1024" t="n">
        <v>0</v>
      </c>
      <c r="AO1024" t="n">
        <v>0</v>
      </c>
      <c r="AP1024" t="n">
        <v>0</v>
      </c>
      <c r="AQ1024" t="n">
        <v>0</v>
      </c>
      <c r="AR1024" t="inlineStr">
        <is>
          <t>No</t>
        </is>
      </c>
      <c r="AS1024" t="inlineStr">
        <is>
          <t>Yes</t>
        </is>
      </c>
      <c r="AT1024">
        <f>HYPERLINK("http://catalog.hathitrust.org/Record/004341936","HathiTrust Record")</f>
        <v/>
      </c>
      <c r="AU1024">
        <f>HYPERLINK("https://creighton-primo.hosted.exlibrisgroup.com/primo-explore/search?tab=default_tab&amp;search_scope=EVERYTHING&amp;vid=01CRU&amp;lang=en_US&amp;offset=0&amp;query=any,contains,991004028709702656","Catalog Record")</f>
        <v/>
      </c>
      <c r="AV1024">
        <f>HYPERLINK("http://www.worldcat.org/oclc/39656529","WorldCat Record")</f>
        <v/>
      </c>
      <c r="AW1024" t="inlineStr">
        <is>
          <t>41541624:spa</t>
        </is>
      </c>
      <c r="AX1024" t="inlineStr">
        <is>
          <t>39656529</t>
        </is>
      </c>
      <c r="AY1024" t="inlineStr">
        <is>
          <t>991004028709702656</t>
        </is>
      </c>
      <c r="AZ1024" t="inlineStr">
        <is>
          <t>991004028709702656</t>
        </is>
      </c>
      <c r="BA1024" t="inlineStr">
        <is>
          <t>2266628330002656</t>
        </is>
      </c>
      <c r="BB1024" t="inlineStr">
        <is>
          <t>BOOK</t>
        </is>
      </c>
      <c r="BD1024" t="inlineStr">
        <is>
          <t>9780910061421</t>
        </is>
      </c>
      <c r="BE1024" t="inlineStr">
        <is>
          <t>32285004634126</t>
        </is>
      </c>
      <c r="BF1024" t="inlineStr">
        <is>
          <t>893699748</t>
        </is>
      </c>
    </row>
    <row r="1025">
      <c r="A1025" t="inlineStr">
        <is>
          <t>No</t>
        </is>
      </c>
      <c r="B1025" t="inlineStr">
        <is>
          <t>CURAL</t>
        </is>
      </c>
      <c r="C1025" t="inlineStr">
        <is>
          <t>SHELVES</t>
        </is>
      </c>
      <c r="D1025" t="inlineStr">
        <is>
          <t>PQ7489.G88 T4 1978</t>
        </is>
      </c>
      <c r="E1025" t="inlineStr">
        <is>
          <t>0                      PQ 7489000G  88                 T  4           1978</t>
        </is>
      </c>
      <c r="F1025" t="inlineStr">
        <is>
          <t>Te acordás, hermano / Joaquín Gutiérrez.</t>
        </is>
      </c>
      <c r="H1025" t="inlineStr">
        <is>
          <t>No</t>
        </is>
      </c>
      <c r="I1025" t="inlineStr">
        <is>
          <t>1</t>
        </is>
      </c>
      <c r="J1025" t="inlineStr">
        <is>
          <t>No</t>
        </is>
      </c>
      <c r="K1025" t="inlineStr">
        <is>
          <t>No</t>
        </is>
      </c>
      <c r="L1025" t="inlineStr">
        <is>
          <t>0</t>
        </is>
      </c>
      <c r="M1025" t="inlineStr">
        <is>
          <t>Gutiérrez, Joaquín.</t>
        </is>
      </c>
      <c r="N1025" t="inlineStr">
        <is>
          <t>La Habana : Casa de las Américas, [1978]</t>
        </is>
      </c>
      <c r="O1025" t="inlineStr">
        <is>
          <t>1978</t>
        </is>
      </c>
      <c r="Q1025" t="inlineStr">
        <is>
          <t>spa</t>
        </is>
      </c>
      <c r="R1025" t="inlineStr">
        <is>
          <t xml:space="preserve">cu </t>
        </is>
      </c>
      <c r="T1025" t="inlineStr">
        <is>
          <t xml:space="preserve">PQ </t>
        </is>
      </c>
      <c r="U1025" t="n">
        <v>1</v>
      </c>
      <c r="V1025" t="n">
        <v>1</v>
      </c>
      <c r="W1025" t="inlineStr">
        <is>
          <t>2002-04-03</t>
        </is>
      </c>
      <c r="X1025" t="inlineStr">
        <is>
          <t>2002-04-03</t>
        </is>
      </c>
      <c r="Y1025" t="inlineStr">
        <is>
          <t>2002-03-07</t>
        </is>
      </c>
      <c r="Z1025" t="inlineStr">
        <is>
          <t>2002-03-07</t>
        </is>
      </c>
      <c r="AA1025" t="n">
        <v>85</v>
      </c>
      <c r="AB1025" t="n">
        <v>59</v>
      </c>
      <c r="AC1025" t="n">
        <v>77</v>
      </c>
      <c r="AD1025" t="n">
        <v>1</v>
      </c>
      <c r="AE1025" t="n">
        <v>1</v>
      </c>
      <c r="AF1025" t="n">
        <v>1</v>
      </c>
      <c r="AG1025" t="n">
        <v>2</v>
      </c>
      <c r="AH1025" t="n">
        <v>0</v>
      </c>
      <c r="AI1025" t="n">
        <v>0</v>
      </c>
      <c r="AJ1025" t="n">
        <v>0</v>
      </c>
      <c r="AK1025" t="n">
        <v>1</v>
      </c>
      <c r="AL1025" t="n">
        <v>1</v>
      </c>
      <c r="AM1025" t="n">
        <v>1</v>
      </c>
      <c r="AN1025" t="n">
        <v>0</v>
      </c>
      <c r="AO1025" t="n">
        <v>0</v>
      </c>
      <c r="AP1025" t="n">
        <v>0</v>
      </c>
      <c r="AQ1025" t="n">
        <v>0</v>
      </c>
      <c r="AR1025" t="inlineStr">
        <is>
          <t>No</t>
        </is>
      </c>
      <c r="AS1025" t="inlineStr">
        <is>
          <t>Yes</t>
        </is>
      </c>
      <c r="AT1025">
        <f>HYPERLINK("http://catalog.hathitrust.org/Record/009509375","HathiTrust Record")</f>
        <v/>
      </c>
      <c r="AU1025">
        <f>HYPERLINK("https://creighton-primo.hosted.exlibrisgroup.com/primo-explore/search?tab=default_tab&amp;search_scope=EVERYTHING&amp;vid=01CRU&amp;lang=en_US&amp;offset=0&amp;query=any,contains,991003758809702656","Catalog Record")</f>
        <v/>
      </c>
      <c r="AV1025">
        <f>HYPERLINK("http://www.worldcat.org/oclc/4142367","WorldCat Record")</f>
        <v/>
      </c>
      <c r="AW1025" t="inlineStr">
        <is>
          <t>3734302:spa</t>
        </is>
      </c>
      <c r="AX1025" t="inlineStr">
        <is>
          <t>4142367</t>
        </is>
      </c>
      <c r="AY1025" t="inlineStr">
        <is>
          <t>991003758809702656</t>
        </is>
      </c>
      <c r="AZ1025" t="inlineStr">
        <is>
          <t>991003758809702656</t>
        </is>
      </c>
      <c r="BA1025" t="inlineStr">
        <is>
          <t>2263739180002656</t>
        </is>
      </c>
      <c r="BB1025" t="inlineStr">
        <is>
          <t>BOOK</t>
        </is>
      </c>
      <c r="BE1025" t="inlineStr">
        <is>
          <t>32285004460019</t>
        </is>
      </c>
      <c r="BF1025" t="inlineStr">
        <is>
          <t>893904504</t>
        </is>
      </c>
    </row>
    <row r="1026">
      <c r="A1026" t="inlineStr">
        <is>
          <t>No</t>
        </is>
      </c>
      <c r="B1026" t="inlineStr">
        <is>
          <t>CURAL</t>
        </is>
      </c>
      <c r="C1026" t="inlineStr">
        <is>
          <t>SHELVES</t>
        </is>
      </c>
      <c r="D1026" t="inlineStr">
        <is>
          <t>PQ7499.A75 A6 1977</t>
        </is>
      </c>
      <c r="E1026" t="inlineStr">
        <is>
          <t>0                      PQ 7499000A  75                 A  6           1977</t>
        </is>
      </c>
      <c r="F1026" t="inlineStr">
        <is>
          <t>Tres obras / Miguel Angel Asturias ; introd., Arturo Uslar Pietri ; notas críticas y cronología, Giuseppe Bellini.</t>
        </is>
      </c>
      <c r="H1026" t="inlineStr">
        <is>
          <t>No</t>
        </is>
      </c>
      <c r="I1026" t="inlineStr">
        <is>
          <t>1</t>
        </is>
      </c>
      <c r="J1026" t="inlineStr">
        <is>
          <t>No</t>
        </is>
      </c>
      <c r="K1026" t="inlineStr">
        <is>
          <t>No</t>
        </is>
      </c>
      <c r="L1026" t="inlineStr">
        <is>
          <t>0</t>
        </is>
      </c>
      <c r="M1026" t="inlineStr">
        <is>
          <t>Asturias, Miguel Angel.</t>
        </is>
      </c>
      <c r="N1026" t="inlineStr">
        <is>
          <t>[Caracas] : Biblioteca Ayacucho, [1977]</t>
        </is>
      </c>
      <c r="O1026" t="inlineStr">
        <is>
          <t>1977</t>
        </is>
      </c>
      <c r="Q1026" t="inlineStr">
        <is>
          <t>spa</t>
        </is>
      </c>
      <c r="R1026" t="inlineStr">
        <is>
          <t xml:space="preserve">ve </t>
        </is>
      </c>
      <c r="S1026" t="inlineStr">
        <is>
          <t>Biblioteca Ayacucho ; 19</t>
        </is>
      </c>
      <c r="T1026" t="inlineStr">
        <is>
          <t xml:space="preserve">PQ </t>
        </is>
      </c>
      <c r="U1026" t="n">
        <v>1</v>
      </c>
      <c r="V1026" t="n">
        <v>1</v>
      </c>
      <c r="W1026" t="inlineStr">
        <is>
          <t>2001-11-19</t>
        </is>
      </c>
      <c r="X1026" t="inlineStr">
        <is>
          <t>2001-11-19</t>
        </is>
      </c>
      <c r="Y1026" t="inlineStr">
        <is>
          <t>2001-11-19</t>
        </is>
      </c>
      <c r="Z1026" t="inlineStr">
        <is>
          <t>2001-11-19</t>
        </is>
      </c>
      <c r="AA1026" t="n">
        <v>101</v>
      </c>
      <c r="AB1026" t="n">
        <v>68</v>
      </c>
      <c r="AC1026" t="n">
        <v>120</v>
      </c>
      <c r="AD1026" t="n">
        <v>1</v>
      </c>
      <c r="AE1026" t="n">
        <v>2</v>
      </c>
      <c r="AF1026" t="n">
        <v>3</v>
      </c>
      <c r="AG1026" t="n">
        <v>6</v>
      </c>
      <c r="AH1026" t="n">
        <v>0</v>
      </c>
      <c r="AI1026" t="n">
        <v>0</v>
      </c>
      <c r="AJ1026" t="n">
        <v>3</v>
      </c>
      <c r="AK1026" t="n">
        <v>4</v>
      </c>
      <c r="AL1026" t="n">
        <v>1</v>
      </c>
      <c r="AM1026" t="n">
        <v>3</v>
      </c>
      <c r="AN1026" t="n">
        <v>0</v>
      </c>
      <c r="AO1026" t="n">
        <v>1</v>
      </c>
      <c r="AP1026" t="n">
        <v>0</v>
      </c>
      <c r="AQ1026" t="n">
        <v>0</v>
      </c>
      <c r="AR1026" t="inlineStr">
        <is>
          <t>No</t>
        </is>
      </c>
      <c r="AS1026" t="inlineStr">
        <is>
          <t>Yes</t>
        </is>
      </c>
      <c r="AT1026">
        <f>HYPERLINK("http://catalog.hathitrust.org/Record/000878255","HathiTrust Record")</f>
        <v/>
      </c>
      <c r="AU1026">
        <f>HYPERLINK("https://creighton-primo.hosted.exlibrisgroup.com/primo-explore/search?tab=default_tab&amp;search_scope=EVERYTHING&amp;vid=01CRU&amp;lang=en_US&amp;offset=0&amp;query=any,contains,991003682949702656","Catalog Record")</f>
        <v/>
      </c>
      <c r="AV1026">
        <f>HYPERLINK("http://www.worldcat.org/oclc/6486387","WorldCat Record")</f>
        <v/>
      </c>
      <c r="AW1026" t="inlineStr">
        <is>
          <t>22517232:spa</t>
        </is>
      </c>
      <c r="AX1026" t="inlineStr">
        <is>
          <t>6486387</t>
        </is>
      </c>
      <c r="AY1026" t="inlineStr">
        <is>
          <t>991003682949702656</t>
        </is>
      </c>
      <c r="AZ1026" t="inlineStr">
        <is>
          <t>991003682949702656</t>
        </is>
      </c>
      <c r="BA1026" t="inlineStr">
        <is>
          <t>2269512100002656</t>
        </is>
      </c>
      <c r="BB1026" t="inlineStr">
        <is>
          <t>BOOK</t>
        </is>
      </c>
      <c r="BE1026" t="inlineStr">
        <is>
          <t>32285004412648</t>
        </is>
      </c>
      <c r="BF1026" t="inlineStr">
        <is>
          <t>893410555</t>
        </is>
      </c>
    </row>
    <row r="1027">
      <c r="A1027" t="inlineStr">
        <is>
          <t>No</t>
        </is>
      </c>
      <c r="B1027" t="inlineStr">
        <is>
          <t>CURAL</t>
        </is>
      </c>
      <c r="C1027" t="inlineStr">
        <is>
          <t>SHELVES</t>
        </is>
      </c>
      <c r="D1027" t="inlineStr">
        <is>
          <t>PQ7499.R66 M3 1999</t>
        </is>
      </c>
      <c r="E1027" t="inlineStr">
        <is>
          <t>0                      PQ 7499000R  66                 M  3           1999</t>
        </is>
      </c>
      <c r="F1027" t="inlineStr">
        <is>
          <t>La mansión del pájaro serpiente / Virgilio Rodríguez Macal.</t>
        </is>
      </c>
      <c r="H1027" t="inlineStr">
        <is>
          <t>No</t>
        </is>
      </c>
      <c r="I1027" t="inlineStr">
        <is>
          <t>1</t>
        </is>
      </c>
      <c r="J1027" t="inlineStr">
        <is>
          <t>No</t>
        </is>
      </c>
      <c r="K1027" t="inlineStr">
        <is>
          <t>No</t>
        </is>
      </c>
      <c r="L1027" t="inlineStr">
        <is>
          <t>0</t>
        </is>
      </c>
      <c r="M1027" t="inlineStr">
        <is>
          <t>Rodríguez Macal, Virgilio.</t>
        </is>
      </c>
      <c r="N1027" t="inlineStr">
        <is>
          <t>Guatemala : Editorial Piedra Santa, 1999.</t>
        </is>
      </c>
      <c r="O1027" t="inlineStr">
        <is>
          <t>1999</t>
        </is>
      </c>
      <c r="P1027" t="inlineStr">
        <is>
          <t>1a [Illustrated] ed.</t>
        </is>
      </c>
      <c r="Q1027" t="inlineStr">
        <is>
          <t>spa</t>
        </is>
      </c>
      <c r="R1027" t="inlineStr">
        <is>
          <t xml:space="preserve">gt </t>
        </is>
      </c>
      <c r="T1027" t="inlineStr">
        <is>
          <t xml:space="preserve">PQ </t>
        </is>
      </c>
      <c r="U1027" t="n">
        <v>1</v>
      </c>
      <c r="V1027" t="n">
        <v>1</v>
      </c>
      <c r="W1027" t="inlineStr">
        <is>
          <t>2000-09-05</t>
        </is>
      </c>
      <c r="X1027" t="inlineStr">
        <is>
          <t>2000-09-05</t>
        </is>
      </c>
      <c r="Y1027" t="inlineStr">
        <is>
          <t>2000-09-05</t>
        </is>
      </c>
      <c r="Z1027" t="inlineStr">
        <is>
          <t>2000-09-05</t>
        </is>
      </c>
      <c r="AA1027" t="n">
        <v>14</v>
      </c>
      <c r="AB1027" t="n">
        <v>14</v>
      </c>
      <c r="AC1027" t="n">
        <v>79</v>
      </c>
      <c r="AD1027" t="n">
        <v>1</v>
      </c>
      <c r="AE1027" t="n">
        <v>2</v>
      </c>
      <c r="AF1027" t="n">
        <v>0</v>
      </c>
      <c r="AG1027" t="n">
        <v>2</v>
      </c>
      <c r="AH1027" t="n">
        <v>0</v>
      </c>
      <c r="AI1027" t="n">
        <v>1</v>
      </c>
      <c r="AJ1027" t="n">
        <v>0</v>
      </c>
      <c r="AK1027" t="n">
        <v>0</v>
      </c>
      <c r="AL1027" t="n">
        <v>0</v>
      </c>
      <c r="AM1027" t="n">
        <v>1</v>
      </c>
      <c r="AN1027" t="n">
        <v>0</v>
      </c>
      <c r="AO1027" t="n">
        <v>1</v>
      </c>
      <c r="AP1027" t="n">
        <v>0</v>
      </c>
      <c r="AQ1027" t="n">
        <v>0</v>
      </c>
      <c r="AR1027" t="inlineStr">
        <is>
          <t>No</t>
        </is>
      </c>
      <c r="AS1027" t="inlineStr">
        <is>
          <t>Yes</t>
        </is>
      </c>
      <c r="AT1027">
        <f>HYPERLINK("http://catalog.hathitrust.org/Record/101107587","HathiTrust Record")</f>
        <v/>
      </c>
      <c r="AU1027">
        <f>HYPERLINK("https://creighton-primo.hosted.exlibrisgroup.com/primo-explore/search?tab=default_tab&amp;search_scope=EVERYTHING&amp;vid=01CRU&amp;lang=en_US&amp;offset=0&amp;query=any,contains,991003254809702656","Catalog Record")</f>
        <v/>
      </c>
      <c r="AV1027">
        <f>HYPERLINK("http://www.worldcat.org/oclc/43780128","WorldCat Record")</f>
        <v/>
      </c>
      <c r="AW1027" t="inlineStr">
        <is>
          <t>3943365563:spa</t>
        </is>
      </c>
      <c r="AX1027" t="inlineStr">
        <is>
          <t>43780128</t>
        </is>
      </c>
      <c r="AY1027" t="inlineStr">
        <is>
          <t>991003254809702656</t>
        </is>
      </c>
      <c r="AZ1027" t="inlineStr">
        <is>
          <t>991003254809702656</t>
        </is>
      </c>
      <c r="BA1027" t="inlineStr">
        <is>
          <t>2255832750002656</t>
        </is>
      </c>
      <c r="BB1027" t="inlineStr">
        <is>
          <t>BOOK</t>
        </is>
      </c>
      <c r="BD1027" t="inlineStr">
        <is>
          <t>9789992250853</t>
        </is>
      </c>
      <c r="BE1027" t="inlineStr">
        <is>
          <t>32285003760070</t>
        </is>
      </c>
      <c r="BF1027" t="inlineStr">
        <is>
          <t>893809901</t>
        </is>
      </c>
    </row>
    <row r="1028">
      <c r="A1028" t="inlineStr">
        <is>
          <t>No</t>
        </is>
      </c>
      <c r="B1028" t="inlineStr">
        <is>
          <t>CURAL</t>
        </is>
      </c>
      <c r="C1028" t="inlineStr">
        <is>
          <t>SHELVES</t>
        </is>
      </c>
      <c r="D1028" t="inlineStr">
        <is>
          <t>PQ7499.S6 T4 1972</t>
        </is>
      </c>
      <c r="E1028" t="inlineStr">
        <is>
          <t>0                      PQ 7499000S  6                  T  4           1972</t>
        </is>
      </c>
      <c r="F1028" t="inlineStr">
        <is>
          <t>Teatro / Carlso Solorzano.</t>
        </is>
      </c>
      <c r="H1028" t="inlineStr">
        <is>
          <t>No</t>
        </is>
      </c>
      <c r="I1028" t="inlineStr">
        <is>
          <t>1</t>
        </is>
      </c>
      <c r="J1028" t="inlineStr">
        <is>
          <t>No</t>
        </is>
      </c>
      <c r="K1028" t="inlineStr">
        <is>
          <t>No</t>
        </is>
      </c>
      <c r="L1028" t="inlineStr">
        <is>
          <t>0</t>
        </is>
      </c>
      <c r="M1028" t="inlineStr">
        <is>
          <t>Solórzano, Carlos.</t>
        </is>
      </c>
      <c r="N1028" t="inlineStr">
        <is>
          <t>Ciudad Universitaria Rodrigo Facio, San José, Costa Rica] : Editorial Universitaria Centroamericana, [1972]</t>
        </is>
      </c>
      <c r="O1028" t="inlineStr">
        <is>
          <t>1972</t>
        </is>
      </c>
      <c r="P1028" t="inlineStr">
        <is>
          <t>1. ed.</t>
        </is>
      </c>
      <c r="Q1028" t="inlineStr">
        <is>
          <t>spa</t>
        </is>
      </c>
      <c r="R1028" t="inlineStr">
        <is>
          <t xml:space="preserve">cr </t>
        </is>
      </c>
      <c r="S1028" t="inlineStr">
        <is>
          <t>Colección Séptimo día</t>
        </is>
      </c>
      <c r="T1028" t="inlineStr">
        <is>
          <t xml:space="preserve">PQ </t>
        </is>
      </c>
      <c r="U1028" t="n">
        <v>1</v>
      </c>
      <c r="V1028" t="n">
        <v>1</v>
      </c>
      <c r="W1028" t="inlineStr">
        <is>
          <t>2005-03-23</t>
        </is>
      </c>
      <c r="X1028" t="inlineStr">
        <is>
          <t>2005-03-23</t>
        </is>
      </c>
      <c r="Y1028" t="inlineStr">
        <is>
          <t>2005-03-23</t>
        </is>
      </c>
      <c r="Z1028" t="inlineStr">
        <is>
          <t>2005-03-23</t>
        </is>
      </c>
      <c r="AA1028" t="n">
        <v>100</v>
      </c>
      <c r="AB1028" t="n">
        <v>85</v>
      </c>
      <c r="AC1028" t="n">
        <v>157</v>
      </c>
      <c r="AD1028" t="n">
        <v>1</v>
      </c>
      <c r="AE1028" t="n">
        <v>1</v>
      </c>
      <c r="AF1028" t="n">
        <v>4</v>
      </c>
      <c r="AG1028" t="n">
        <v>8</v>
      </c>
      <c r="AH1028" t="n">
        <v>2</v>
      </c>
      <c r="AI1028" t="n">
        <v>3</v>
      </c>
      <c r="AJ1028" t="n">
        <v>1</v>
      </c>
      <c r="AK1028" t="n">
        <v>3</v>
      </c>
      <c r="AL1028" t="n">
        <v>2</v>
      </c>
      <c r="AM1028" t="n">
        <v>4</v>
      </c>
      <c r="AN1028" t="n">
        <v>0</v>
      </c>
      <c r="AO1028" t="n">
        <v>0</v>
      </c>
      <c r="AP1028" t="n">
        <v>0</v>
      </c>
      <c r="AQ1028" t="n">
        <v>0</v>
      </c>
      <c r="AR1028" t="inlineStr">
        <is>
          <t>No</t>
        </is>
      </c>
      <c r="AS1028" t="inlineStr">
        <is>
          <t>No</t>
        </is>
      </c>
      <c r="AU1028">
        <f>HYPERLINK("https://creighton-primo.hosted.exlibrisgroup.com/primo-explore/search?tab=default_tab&amp;search_scope=EVERYTHING&amp;vid=01CRU&amp;lang=en_US&amp;offset=0&amp;query=any,contains,991004510149702656","Catalog Record")</f>
        <v/>
      </c>
      <c r="AV1028">
        <f>HYPERLINK("http://www.worldcat.org/oclc/820086","WorldCat Record")</f>
        <v/>
      </c>
      <c r="AW1028" t="inlineStr">
        <is>
          <t>199403148:spa</t>
        </is>
      </c>
      <c r="AX1028" t="inlineStr">
        <is>
          <t>820086</t>
        </is>
      </c>
      <c r="AY1028" t="inlineStr">
        <is>
          <t>991004510149702656</t>
        </is>
      </c>
      <c r="AZ1028" t="inlineStr">
        <is>
          <t>991004510149702656</t>
        </is>
      </c>
      <c r="BA1028" t="inlineStr">
        <is>
          <t>2258960090002656</t>
        </is>
      </c>
      <c r="BB1028" t="inlineStr">
        <is>
          <t>BOOK</t>
        </is>
      </c>
      <c r="BE1028" t="inlineStr">
        <is>
          <t>32285005044598</t>
        </is>
      </c>
      <c r="BF1028" t="inlineStr">
        <is>
          <t>893599920</t>
        </is>
      </c>
    </row>
    <row r="1029">
      <c r="A1029" t="inlineStr">
        <is>
          <t>No</t>
        </is>
      </c>
      <c r="B1029" t="inlineStr">
        <is>
          <t>CURAL</t>
        </is>
      </c>
      <c r="C1029" t="inlineStr">
        <is>
          <t>SHELVES</t>
        </is>
      </c>
      <c r="D1029" t="inlineStr">
        <is>
          <t>PQ7509.2.S6 A17 1984</t>
        </is>
      </c>
      <c r="E1029" t="inlineStr">
        <is>
          <t>0                      PQ 7509200S  6                  A  17          1984</t>
        </is>
      </c>
      <c r="F1029" t="inlineStr">
        <is>
          <t>Poems / by Roberto Sosa ; with translations and introduction by Edward V. Coughlin.</t>
        </is>
      </c>
      <c r="H1029" t="inlineStr">
        <is>
          <t>No</t>
        </is>
      </c>
      <c r="I1029" t="inlineStr">
        <is>
          <t>1</t>
        </is>
      </c>
      <c r="J1029" t="inlineStr">
        <is>
          <t>No</t>
        </is>
      </c>
      <c r="K1029" t="inlineStr">
        <is>
          <t>No</t>
        </is>
      </c>
      <c r="L1029" t="inlineStr">
        <is>
          <t>0</t>
        </is>
      </c>
      <c r="M1029" t="inlineStr">
        <is>
          <t>Sosa, Roberto, 1930-2011.</t>
        </is>
      </c>
      <c r="N1029" t="inlineStr">
        <is>
          <t>York, South Carolina : Spanish Literature Publications Company, 1984.</t>
        </is>
      </c>
      <c r="O1029" t="inlineStr">
        <is>
          <t>1984</t>
        </is>
      </c>
      <c r="P1029" t="inlineStr">
        <is>
          <t>Bilingual ed.</t>
        </is>
      </c>
      <c r="Q1029" t="inlineStr">
        <is>
          <t>eng</t>
        </is>
      </c>
      <c r="R1029" t="inlineStr">
        <is>
          <t>scu</t>
        </is>
      </c>
      <c r="T1029" t="inlineStr">
        <is>
          <t xml:space="preserve">PQ </t>
        </is>
      </c>
      <c r="U1029" t="n">
        <v>1</v>
      </c>
      <c r="V1029" t="n">
        <v>1</v>
      </c>
      <c r="W1029" t="inlineStr">
        <is>
          <t>2003-04-16</t>
        </is>
      </c>
      <c r="X1029" t="inlineStr">
        <is>
          <t>2003-04-16</t>
        </is>
      </c>
      <c r="Y1029" t="inlineStr">
        <is>
          <t>2003-04-16</t>
        </is>
      </c>
      <c r="Z1029" t="inlineStr">
        <is>
          <t>2003-04-16</t>
        </is>
      </c>
      <c r="AA1029" t="n">
        <v>98</v>
      </c>
      <c r="AB1029" t="n">
        <v>95</v>
      </c>
      <c r="AC1029" t="n">
        <v>97</v>
      </c>
      <c r="AD1029" t="n">
        <v>1</v>
      </c>
      <c r="AE1029" t="n">
        <v>1</v>
      </c>
      <c r="AF1029" t="n">
        <v>4</v>
      </c>
      <c r="AG1029" t="n">
        <v>4</v>
      </c>
      <c r="AH1029" t="n">
        <v>0</v>
      </c>
      <c r="AI1029" t="n">
        <v>0</v>
      </c>
      <c r="AJ1029" t="n">
        <v>2</v>
      </c>
      <c r="AK1029" t="n">
        <v>2</v>
      </c>
      <c r="AL1029" t="n">
        <v>3</v>
      </c>
      <c r="AM1029" t="n">
        <v>3</v>
      </c>
      <c r="AN1029" t="n">
        <v>0</v>
      </c>
      <c r="AO1029" t="n">
        <v>0</v>
      </c>
      <c r="AP1029" t="n">
        <v>0</v>
      </c>
      <c r="AQ1029" t="n">
        <v>0</v>
      </c>
      <c r="AR1029" t="inlineStr">
        <is>
          <t>No</t>
        </is>
      </c>
      <c r="AS1029" t="inlineStr">
        <is>
          <t>Yes</t>
        </is>
      </c>
      <c r="AT1029">
        <f>HYPERLINK("http://catalog.hathitrust.org/Record/003084146","HathiTrust Record")</f>
        <v/>
      </c>
      <c r="AU1029">
        <f>HYPERLINK("https://creighton-primo.hosted.exlibrisgroup.com/primo-explore/search?tab=default_tab&amp;search_scope=EVERYTHING&amp;vid=01CRU&amp;lang=en_US&amp;offset=0&amp;query=any,contains,991004027759702656","Catalog Record")</f>
        <v/>
      </c>
      <c r="AV1029">
        <f>HYPERLINK("http://www.worldcat.org/oclc/11768816","WorldCat Record")</f>
        <v/>
      </c>
      <c r="AW1029" t="inlineStr">
        <is>
          <t>904312229:eng</t>
        </is>
      </c>
      <c r="AX1029" t="inlineStr">
        <is>
          <t>11768816</t>
        </is>
      </c>
      <c r="AY1029" t="inlineStr">
        <is>
          <t>991004027759702656</t>
        </is>
      </c>
      <c r="AZ1029" t="inlineStr">
        <is>
          <t>991004027759702656</t>
        </is>
      </c>
      <c r="BA1029" t="inlineStr">
        <is>
          <t>2268661240002656</t>
        </is>
      </c>
      <c r="BB1029" t="inlineStr">
        <is>
          <t>BOOK</t>
        </is>
      </c>
      <c r="BD1029" t="inlineStr">
        <is>
          <t>9780938972068</t>
        </is>
      </c>
      <c r="BE1029" t="inlineStr">
        <is>
          <t>32285004742853</t>
        </is>
      </c>
      <c r="BF1029" t="inlineStr">
        <is>
          <t>893253150</t>
        </is>
      </c>
    </row>
    <row r="1030">
      <c r="A1030" t="inlineStr">
        <is>
          <t>No</t>
        </is>
      </c>
      <c r="B1030" t="inlineStr">
        <is>
          <t>CURAL</t>
        </is>
      </c>
      <c r="C1030" t="inlineStr">
        <is>
          <t>SHELVES</t>
        </is>
      </c>
      <c r="D1030" t="inlineStr">
        <is>
          <t>PQ7519.2.B44 P61 1989</t>
        </is>
      </c>
      <c r="E1030" t="inlineStr">
        <is>
          <t>0                      PQ 7519200B  44                 P  61          1989</t>
        </is>
      </c>
      <c r="F1030" t="inlineStr">
        <is>
          <t>Poesía reunida / Giaconda Belli.</t>
        </is>
      </c>
      <c r="H1030" t="inlineStr">
        <is>
          <t>No</t>
        </is>
      </c>
      <c r="I1030" t="inlineStr">
        <is>
          <t>1</t>
        </is>
      </c>
      <c r="J1030" t="inlineStr">
        <is>
          <t>No</t>
        </is>
      </c>
      <c r="K1030" t="inlineStr">
        <is>
          <t>No</t>
        </is>
      </c>
      <c r="L1030" t="inlineStr">
        <is>
          <t>0</t>
        </is>
      </c>
      <c r="M1030" t="inlineStr">
        <is>
          <t>Belli, Gioconda, 1948-</t>
        </is>
      </c>
      <c r="N1030" t="inlineStr">
        <is>
          <t>México, D.F. : Editorial Diana, 1989.</t>
        </is>
      </c>
      <c r="O1030" t="inlineStr">
        <is>
          <t>1989</t>
        </is>
      </c>
      <c r="P1030" t="inlineStr">
        <is>
          <t>1a ed.</t>
        </is>
      </c>
      <c r="Q1030" t="inlineStr">
        <is>
          <t>spa</t>
        </is>
      </c>
      <c r="R1030" t="inlineStr">
        <is>
          <t xml:space="preserve">mx </t>
        </is>
      </c>
      <c r="S1030" t="inlineStr">
        <is>
          <t>Diana literaria</t>
        </is>
      </c>
      <c r="T1030" t="inlineStr">
        <is>
          <t xml:space="preserve">PQ </t>
        </is>
      </c>
      <c r="U1030" t="n">
        <v>1</v>
      </c>
      <c r="V1030" t="n">
        <v>1</v>
      </c>
      <c r="W1030" t="inlineStr">
        <is>
          <t>2001-12-13</t>
        </is>
      </c>
      <c r="X1030" t="inlineStr">
        <is>
          <t>2001-12-13</t>
        </is>
      </c>
      <c r="Y1030" t="inlineStr">
        <is>
          <t>2001-12-13</t>
        </is>
      </c>
      <c r="Z1030" t="inlineStr">
        <is>
          <t>2001-12-13</t>
        </is>
      </c>
      <c r="AA1030" t="n">
        <v>78</v>
      </c>
      <c r="AB1030" t="n">
        <v>60</v>
      </c>
      <c r="AC1030" t="n">
        <v>62</v>
      </c>
      <c r="AD1030" t="n">
        <v>1</v>
      </c>
      <c r="AE1030" t="n">
        <v>1</v>
      </c>
      <c r="AF1030" t="n">
        <v>4</v>
      </c>
      <c r="AG1030" t="n">
        <v>4</v>
      </c>
      <c r="AH1030" t="n">
        <v>2</v>
      </c>
      <c r="AI1030" t="n">
        <v>2</v>
      </c>
      <c r="AJ1030" t="n">
        <v>1</v>
      </c>
      <c r="AK1030" t="n">
        <v>1</v>
      </c>
      <c r="AL1030" t="n">
        <v>2</v>
      </c>
      <c r="AM1030" t="n">
        <v>2</v>
      </c>
      <c r="AN1030" t="n">
        <v>0</v>
      </c>
      <c r="AO1030" t="n">
        <v>0</v>
      </c>
      <c r="AP1030" t="n">
        <v>0</v>
      </c>
      <c r="AQ1030" t="n">
        <v>0</v>
      </c>
      <c r="AR1030" t="inlineStr">
        <is>
          <t>No</t>
        </is>
      </c>
      <c r="AS1030" t="inlineStr">
        <is>
          <t>Yes</t>
        </is>
      </c>
      <c r="AT1030">
        <f>HYPERLINK("http://catalog.hathitrust.org/Record/002962727","HathiTrust Record")</f>
        <v/>
      </c>
      <c r="AU1030">
        <f>HYPERLINK("https://creighton-primo.hosted.exlibrisgroup.com/primo-explore/search?tab=default_tab&amp;search_scope=EVERYTHING&amp;vid=01CRU&amp;lang=en_US&amp;offset=0&amp;query=any,contains,991003699499702656","Catalog Record")</f>
        <v/>
      </c>
      <c r="AV1030">
        <f>HYPERLINK("http://www.worldcat.org/oclc/20925182","WorldCat Record")</f>
        <v/>
      </c>
      <c r="AW1030" t="inlineStr">
        <is>
          <t>22409337:spa</t>
        </is>
      </c>
      <c r="AX1030" t="inlineStr">
        <is>
          <t>20925182</t>
        </is>
      </c>
      <c r="AY1030" t="inlineStr">
        <is>
          <t>991003699499702656</t>
        </is>
      </c>
      <c r="AZ1030" t="inlineStr">
        <is>
          <t>991003699499702656</t>
        </is>
      </c>
      <c r="BA1030" t="inlineStr">
        <is>
          <t>2267692950002656</t>
        </is>
      </c>
      <c r="BB1030" t="inlineStr">
        <is>
          <t>BOOK</t>
        </is>
      </c>
      <c r="BD1030" t="inlineStr">
        <is>
          <t>9789681312725</t>
        </is>
      </c>
      <c r="BE1030" t="inlineStr">
        <is>
          <t>32285004428750</t>
        </is>
      </c>
      <c r="BF1030" t="inlineStr">
        <is>
          <t>893686835</t>
        </is>
      </c>
    </row>
    <row r="1031">
      <c r="A1031" t="inlineStr">
        <is>
          <t>No</t>
        </is>
      </c>
      <c r="B1031" t="inlineStr">
        <is>
          <t>CURAL</t>
        </is>
      </c>
      <c r="C1031" t="inlineStr">
        <is>
          <t>SHELVES</t>
        </is>
      </c>
      <c r="D1031" t="inlineStr">
        <is>
          <t>PQ7519.2.R25 M37 1998</t>
        </is>
      </c>
      <c r="E1031" t="inlineStr">
        <is>
          <t>0                      PQ 7519200R  25                 M  37          1998</t>
        </is>
      </c>
      <c r="F1031" t="inlineStr">
        <is>
          <t>Margarita, está linda la mar / Sergio Ramírez.</t>
        </is>
      </c>
      <c r="H1031" t="inlineStr">
        <is>
          <t>No</t>
        </is>
      </c>
      <c r="I1031" t="inlineStr">
        <is>
          <t>1</t>
        </is>
      </c>
      <c r="J1031" t="inlineStr">
        <is>
          <t>No</t>
        </is>
      </c>
      <c r="K1031" t="inlineStr">
        <is>
          <t>No</t>
        </is>
      </c>
      <c r="L1031" t="inlineStr">
        <is>
          <t>0</t>
        </is>
      </c>
      <c r="M1031" t="inlineStr">
        <is>
          <t>Ramírez, Sergio, 1942-</t>
        </is>
      </c>
      <c r="N1031" t="inlineStr">
        <is>
          <t>Madrid : Santillana, c1998.</t>
        </is>
      </c>
      <c r="O1031" t="inlineStr">
        <is>
          <t>1998</t>
        </is>
      </c>
      <c r="Q1031" t="inlineStr">
        <is>
          <t>spa</t>
        </is>
      </c>
      <c r="R1031" t="inlineStr">
        <is>
          <t xml:space="preserve">sp </t>
        </is>
      </c>
      <c r="T1031" t="inlineStr">
        <is>
          <t xml:space="preserve">PQ </t>
        </is>
      </c>
      <c r="U1031" t="n">
        <v>1</v>
      </c>
      <c r="V1031" t="n">
        <v>1</v>
      </c>
      <c r="W1031" t="inlineStr">
        <is>
          <t>2000-09-05</t>
        </is>
      </c>
      <c r="X1031" t="inlineStr">
        <is>
          <t>2000-09-05</t>
        </is>
      </c>
      <c r="Y1031" t="inlineStr">
        <is>
          <t>2000-09-05</t>
        </is>
      </c>
      <c r="Z1031" t="inlineStr">
        <is>
          <t>2000-09-05</t>
        </is>
      </c>
      <c r="AA1031" t="n">
        <v>432</v>
      </c>
      <c r="AB1031" t="n">
        <v>391</v>
      </c>
      <c r="AC1031" t="n">
        <v>492</v>
      </c>
      <c r="AD1031" t="n">
        <v>2</v>
      </c>
      <c r="AE1031" t="n">
        <v>5</v>
      </c>
      <c r="AF1031" t="n">
        <v>9</v>
      </c>
      <c r="AG1031" t="n">
        <v>12</v>
      </c>
      <c r="AH1031" t="n">
        <v>3</v>
      </c>
      <c r="AI1031" t="n">
        <v>3</v>
      </c>
      <c r="AJ1031" t="n">
        <v>4</v>
      </c>
      <c r="AK1031" t="n">
        <v>4</v>
      </c>
      <c r="AL1031" t="n">
        <v>7</v>
      </c>
      <c r="AM1031" t="n">
        <v>7</v>
      </c>
      <c r="AN1031" t="n">
        <v>0</v>
      </c>
      <c r="AO1031" t="n">
        <v>3</v>
      </c>
      <c r="AP1031" t="n">
        <v>0</v>
      </c>
      <c r="AQ1031" t="n">
        <v>0</v>
      </c>
      <c r="AR1031" t="inlineStr">
        <is>
          <t>No</t>
        </is>
      </c>
      <c r="AS1031" t="inlineStr">
        <is>
          <t>Yes</t>
        </is>
      </c>
      <c r="AT1031">
        <f>HYPERLINK("http://catalog.hathitrust.org/Record/003978855","HathiTrust Record")</f>
        <v/>
      </c>
      <c r="AU1031">
        <f>HYPERLINK("https://creighton-primo.hosted.exlibrisgroup.com/primo-explore/search?tab=default_tab&amp;search_scope=EVERYTHING&amp;vid=01CRU&amp;lang=en_US&amp;offset=0&amp;query=any,contains,991003254719702656","Catalog Record")</f>
        <v/>
      </c>
      <c r="AV1031">
        <f>HYPERLINK("http://www.worldcat.org/oclc/39047525","WorldCat Record")</f>
        <v/>
      </c>
      <c r="AW1031" t="inlineStr">
        <is>
          <t>876899:spa</t>
        </is>
      </c>
      <c r="AX1031" t="inlineStr">
        <is>
          <t>39047525</t>
        </is>
      </c>
      <c r="AY1031" t="inlineStr">
        <is>
          <t>991003254719702656</t>
        </is>
      </c>
      <c r="AZ1031" t="inlineStr">
        <is>
          <t>991003254719702656</t>
        </is>
      </c>
      <c r="BA1031" t="inlineStr">
        <is>
          <t>2272296340002656</t>
        </is>
      </c>
      <c r="BB1031" t="inlineStr">
        <is>
          <t>BOOK</t>
        </is>
      </c>
      <c r="BD1031" t="inlineStr">
        <is>
          <t>9788420483818</t>
        </is>
      </c>
      <c r="BE1031" t="inlineStr">
        <is>
          <t>32285003760096</t>
        </is>
      </c>
      <c r="BF1031" t="inlineStr">
        <is>
          <t>893617154</t>
        </is>
      </c>
    </row>
    <row r="1032">
      <c r="A1032" t="inlineStr">
        <is>
          <t>No</t>
        </is>
      </c>
      <c r="B1032" t="inlineStr">
        <is>
          <t>CURAL</t>
        </is>
      </c>
      <c r="C1032" t="inlineStr">
        <is>
          <t>SHELVES</t>
        </is>
      </c>
      <c r="D1032" t="inlineStr">
        <is>
          <t>PQ7539.2.D3 V4 1996</t>
        </is>
      </c>
      <c r="E1032" t="inlineStr">
        <is>
          <t>0                      PQ 7539200D  3                  V  4           1996</t>
        </is>
      </c>
      <c r="F1032" t="inlineStr">
        <is>
          <t>La ventana en el rostro / Roque Dalton.</t>
        </is>
      </c>
      <c r="H1032" t="inlineStr">
        <is>
          <t>No</t>
        </is>
      </c>
      <c r="I1032" t="inlineStr">
        <is>
          <t>1</t>
        </is>
      </c>
      <c r="J1032" t="inlineStr">
        <is>
          <t>No</t>
        </is>
      </c>
      <c r="K1032" t="inlineStr">
        <is>
          <t>No</t>
        </is>
      </c>
      <c r="L1032" t="inlineStr">
        <is>
          <t>0</t>
        </is>
      </c>
      <c r="M1032" t="inlineStr">
        <is>
          <t>Dalton, Roque, 1935-1975.</t>
        </is>
      </c>
      <c r="N1032" t="inlineStr">
        <is>
          <t>San Salvador : Consejo Nacional para la Cultura y el Arte, 1996.</t>
        </is>
      </c>
      <c r="O1032" t="inlineStr">
        <is>
          <t>1996</t>
        </is>
      </c>
      <c r="P1032" t="inlineStr">
        <is>
          <t>1. ed.</t>
        </is>
      </c>
      <c r="Q1032" t="inlineStr">
        <is>
          <t>spa</t>
        </is>
      </c>
      <c r="R1032" t="inlineStr">
        <is>
          <t xml:space="preserve">es </t>
        </is>
      </c>
      <c r="S1032" t="inlineStr">
        <is>
          <t>Biblioteca básica de literatura salvadoreña ; v. 10</t>
        </is>
      </c>
      <c r="T1032" t="inlineStr">
        <is>
          <t xml:space="preserve">PQ </t>
        </is>
      </c>
      <c r="U1032" t="n">
        <v>1</v>
      </c>
      <c r="V1032" t="n">
        <v>1</v>
      </c>
      <c r="W1032" t="inlineStr">
        <is>
          <t>2001-11-08</t>
        </is>
      </c>
      <c r="X1032" t="inlineStr">
        <is>
          <t>2001-11-08</t>
        </is>
      </c>
      <c r="Y1032" t="inlineStr">
        <is>
          <t>2001-11-07</t>
        </is>
      </c>
      <c r="Z1032" t="inlineStr">
        <is>
          <t>2001-11-07</t>
        </is>
      </c>
      <c r="AA1032" t="n">
        <v>41</v>
      </c>
      <c r="AB1032" t="n">
        <v>36</v>
      </c>
      <c r="AC1032" t="n">
        <v>98</v>
      </c>
      <c r="AD1032" t="n">
        <v>1</v>
      </c>
      <c r="AE1032" t="n">
        <v>1</v>
      </c>
      <c r="AF1032" t="n">
        <v>1</v>
      </c>
      <c r="AG1032" t="n">
        <v>2</v>
      </c>
      <c r="AH1032" t="n">
        <v>0</v>
      </c>
      <c r="AI1032" t="n">
        <v>0</v>
      </c>
      <c r="AJ1032" t="n">
        <v>1</v>
      </c>
      <c r="AK1032" t="n">
        <v>2</v>
      </c>
      <c r="AL1032" t="n">
        <v>0</v>
      </c>
      <c r="AM1032" t="n">
        <v>1</v>
      </c>
      <c r="AN1032" t="n">
        <v>0</v>
      </c>
      <c r="AO1032" t="n">
        <v>0</v>
      </c>
      <c r="AP1032" t="n">
        <v>0</v>
      </c>
      <c r="AQ1032" t="n">
        <v>0</v>
      </c>
      <c r="AR1032" t="inlineStr">
        <is>
          <t>No</t>
        </is>
      </c>
      <c r="AS1032" t="inlineStr">
        <is>
          <t>No</t>
        </is>
      </c>
      <c r="AU1032">
        <f>HYPERLINK("https://creighton-primo.hosted.exlibrisgroup.com/primo-explore/search?tab=default_tab&amp;search_scope=EVERYTHING&amp;vid=01CRU&amp;lang=en_US&amp;offset=0&amp;query=any,contains,991003669829702656","Catalog Record")</f>
        <v/>
      </c>
      <c r="AV1032">
        <f>HYPERLINK("http://www.worldcat.org/oclc/37426768","WorldCat Record")</f>
        <v/>
      </c>
      <c r="AW1032" t="inlineStr">
        <is>
          <t>1807242286:spa</t>
        </is>
      </c>
      <c r="AX1032" t="inlineStr">
        <is>
          <t>37426768</t>
        </is>
      </c>
      <c r="AY1032" t="inlineStr">
        <is>
          <t>991003669829702656</t>
        </is>
      </c>
      <c r="AZ1032" t="inlineStr">
        <is>
          <t>991003669829702656</t>
        </is>
      </c>
      <c r="BA1032" t="inlineStr">
        <is>
          <t>2272711930002656</t>
        </is>
      </c>
      <c r="BB1032" t="inlineStr">
        <is>
          <t>BOOK</t>
        </is>
      </c>
      <c r="BE1032" t="inlineStr">
        <is>
          <t>32285004418975</t>
        </is>
      </c>
      <c r="BF1032" t="inlineStr">
        <is>
          <t>893617592</t>
        </is>
      </c>
    </row>
    <row r="1033">
      <c r="A1033" t="inlineStr">
        <is>
          <t>No</t>
        </is>
      </c>
      <c r="B1033" t="inlineStr">
        <is>
          <t>CURAL</t>
        </is>
      </c>
      <c r="C1033" t="inlineStr">
        <is>
          <t>SHELVES</t>
        </is>
      </c>
      <c r="D1033" t="inlineStr">
        <is>
          <t>PQ7539.2.M38 M67 1997</t>
        </is>
      </c>
      <c r="E1033" t="inlineStr">
        <is>
          <t>0                      PQ 7539200M  38                 M  67          1997</t>
        </is>
      </c>
      <c r="F1033" t="inlineStr">
        <is>
          <t>Las mormonas y otros cuentos / José María Méndez ; selección y presentación por Carlos Cañas Dinarte.</t>
        </is>
      </c>
      <c r="H1033" t="inlineStr">
        <is>
          <t>No</t>
        </is>
      </c>
      <c r="I1033" t="inlineStr">
        <is>
          <t>1</t>
        </is>
      </c>
      <c r="J1033" t="inlineStr">
        <is>
          <t>No</t>
        </is>
      </c>
      <c r="K1033" t="inlineStr">
        <is>
          <t>No</t>
        </is>
      </c>
      <c r="L1033" t="inlineStr">
        <is>
          <t>0</t>
        </is>
      </c>
      <c r="M1033" t="inlineStr">
        <is>
          <t>Méndez, José María, 1916-</t>
        </is>
      </c>
      <c r="N1033" t="inlineStr">
        <is>
          <t>San Salvador : Dirección de Publicaciones e Impresos Consejo Nacional para la Cultura y el Arte Concultura, 1997.</t>
        </is>
      </c>
      <c r="O1033" t="inlineStr">
        <is>
          <t>1997</t>
        </is>
      </c>
      <c r="P1033" t="inlineStr">
        <is>
          <t>1. ed.</t>
        </is>
      </c>
      <c r="Q1033" t="inlineStr">
        <is>
          <t>spa</t>
        </is>
      </c>
      <c r="R1033" t="inlineStr">
        <is>
          <t xml:space="preserve">es </t>
        </is>
      </c>
      <c r="S1033" t="inlineStr">
        <is>
          <t>Biblioteca básica de literatura salvadoreña ; v. 15</t>
        </is>
      </c>
      <c r="T1033" t="inlineStr">
        <is>
          <t xml:space="preserve">PQ </t>
        </is>
      </c>
      <c r="U1033" t="n">
        <v>1</v>
      </c>
      <c r="V1033" t="n">
        <v>1</v>
      </c>
      <c r="W1033" t="inlineStr">
        <is>
          <t>2001-11-08</t>
        </is>
      </c>
      <c r="X1033" t="inlineStr">
        <is>
          <t>2001-11-08</t>
        </is>
      </c>
      <c r="Y1033" t="inlineStr">
        <is>
          <t>2001-11-07</t>
        </is>
      </c>
      <c r="Z1033" t="inlineStr">
        <is>
          <t>2001-11-07</t>
        </is>
      </c>
      <c r="AA1033" t="n">
        <v>39</v>
      </c>
      <c r="AB1033" t="n">
        <v>34</v>
      </c>
      <c r="AC1033" t="n">
        <v>34</v>
      </c>
      <c r="AD1033" t="n">
        <v>1</v>
      </c>
      <c r="AE1033" t="n">
        <v>1</v>
      </c>
      <c r="AF1033" t="n">
        <v>1</v>
      </c>
      <c r="AG1033" t="n">
        <v>1</v>
      </c>
      <c r="AH1033" t="n">
        <v>0</v>
      </c>
      <c r="AI1033" t="n">
        <v>0</v>
      </c>
      <c r="AJ1033" t="n">
        <v>1</v>
      </c>
      <c r="AK1033" t="n">
        <v>1</v>
      </c>
      <c r="AL1033" t="n">
        <v>0</v>
      </c>
      <c r="AM1033" t="n">
        <v>0</v>
      </c>
      <c r="AN1033" t="n">
        <v>0</v>
      </c>
      <c r="AO1033" t="n">
        <v>0</v>
      </c>
      <c r="AP1033" t="n">
        <v>0</v>
      </c>
      <c r="AQ1033" t="n">
        <v>0</v>
      </c>
      <c r="AR1033" t="inlineStr">
        <is>
          <t>No</t>
        </is>
      </c>
      <c r="AS1033" t="inlineStr">
        <is>
          <t>No</t>
        </is>
      </c>
      <c r="AU1033">
        <f>HYPERLINK("https://creighton-primo.hosted.exlibrisgroup.com/primo-explore/search?tab=default_tab&amp;search_scope=EVERYTHING&amp;vid=01CRU&amp;lang=en_US&amp;offset=0&amp;query=any,contains,991003670229702656","Catalog Record")</f>
        <v/>
      </c>
      <c r="AV1033">
        <f>HYPERLINK("http://www.worldcat.org/oclc/39212406","WorldCat Record")</f>
        <v/>
      </c>
      <c r="AW1033" t="inlineStr">
        <is>
          <t>365600553:spa</t>
        </is>
      </c>
      <c r="AX1033" t="inlineStr">
        <is>
          <t>39212406</t>
        </is>
      </c>
      <c r="AY1033" t="inlineStr">
        <is>
          <t>991003670229702656</t>
        </is>
      </c>
      <c r="AZ1033" t="inlineStr">
        <is>
          <t>991003670229702656</t>
        </is>
      </c>
      <c r="BA1033" t="inlineStr">
        <is>
          <t>2269137330002656</t>
        </is>
      </c>
      <c r="BB1033" t="inlineStr">
        <is>
          <t>BOOK</t>
        </is>
      </c>
      <c r="BE1033" t="inlineStr">
        <is>
          <t>32285004419049</t>
        </is>
      </c>
      <c r="BF1033" t="inlineStr">
        <is>
          <t>893531462</t>
        </is>
      </c>
    </row>
    <row r="1034">
      <c r="A1034" t="inlineStr">
        <is>
          <t>No</t>
        </is>
      </c>
      <c r="B1034" t="inlineStr">
        <is>
          <t>CURAL</t>
        </is>
      </c>
      <c r="C1034" t="inlineStr">
        <is>
          <t>SHELVES</t>
        </is>
      </c>
      <c r="D1034" t="inlineStr">
        <is>
          <t>PQ7539.A47 C4 1997</t>
        </is>
      </c>
      <c r="E1034" t="inlineStr">
        <is>
          <t>0                      PQ 7539000A  47                 C  4           1997</t>
        </is>
      </c>
      <c r="F1034" t="inlineStr">
        <is>
          <t>Cenizas de Izalco / Claribel Alegría, Darwin Flakoll ; presentación por Julio Valle-Castillo.</t>
        </is>
      </c>
      <c r="H1034" t="inlineStr">
        <is>
          <t>No</t>
        </is>
      </c>
      <c r="I1034" t="inlineStr">
        <is>
          <t>1</t>
        </is>
      </c>
      <c r="J1034" t="inlineStr">
        <is>
          <t>No</t>
        </is>
      </c>
      <c r="K1034" t="inlineStr">
        <is>
          <t>Yes</t>
        </is>
      </c>
      <c r="L1034" t="inlineStr">
        <is>
          <t>0</t>
        </is>
      </c>
      <c r="M1034" t="inlineStr">
        <is>
          <t>Alegría, Claribel.</t>
        </is>
      </c>
      <c r="N1034" t="inlineStr">
        <is>
          <t>San Salvador, El Salvador : Dirección de Publicaciones e Impresos, Consejo Nacional para la Cultura y el Arte, 1997.</t>
        </is>
      </c>
      <c r="O1034" t="inlineStr">
        <is>
          <t>1997</t>
        </is>
      </c>
      <c r="P1034" t="inlineStr">
        <is>
          <t>4. ed.</t>
        </is>
      </c>
      <c r="Q1034" t="inlineStr">
        <is>
          <t>spa</t>
        </is>
      </c>
      <c r="R1034" t="inlineStr">
        <is>
          <t xml:space="preserve">es </t>
        </is>
      </c>
      <c r="S1034" t="inlineStr">
        <is>
          <t>Biblioteca básica de literatura salvadoreña ; v. 18</t>
        </is>
      </c>
      <c r="T1034" t="inlineStr">
        <is>
          <t xml:space="preserve">PQ </t>
        </is>
      </c>
      <c r="U1034" t="n">
        <v>1</v>
      </c>
      <c r="V1034" t="n">
        <v>1</v>
      </c>
      <c r="W1034" t="inlineStr">
        <is>
          <t>2001-11-08</t>
        </is>
      </c>
      <c r="X1034" t="inlineStr">
        <is>
          <t>2001-11-08</t>
        </is>
      </c>
      <c r="Y1034" t="inlineStr">
        <is>
          <t>2001-11-07</t>
        </is>
      </c>
      <c r="Z1034" t="inlineStr">
        <is>
          <t>2001-11-07</t>
        </is>
      </c>
      <c r="AA1034" t="n">
        <v>35</v>
      </c>
      <c r="AB1034" t="n">
        <v>32</v>
      </c>
      <c r="AC1034" t="n">
        <v>196</v>
      </c>
      <c r="AD1034" t="n">
        <v>1</v>
      </c>
      <c r="AE1034" t="n">
        <v>3</v>
      </c>
      <c r="AF1034" t="n">
        <v>1</v>
      </c>
      <c r="AG1034" t="n">
        <v>12</v>
      </c>
      <c r="AH1034" t="n">
        <v>0</v>
      </c>
      <c r="AI1034" t="n">
        <v>3</v>
      </c>
      <c r="AJ1034" t="n">
        <v>1</v>
      </c>
      <c r="AK1034" t="n">
        <v>4</v>
      </c>
      <c r="AL1034" t="n">
        <v>0</v>
      </c>
      <c r="AM1034" t="n">
        <v>6</v>
      </c>
      <c r="AN1034" t="n">
        <v>0</v>
      </c>
      <c r="AO1034" t="n">
        <v>2</v>
      </c>
      <c r="AP1034" t="n">
        <v>0</v>
      </c>
      <c r="AQ1034" t="n">
        <v>0</v>
      </c>
      <c r="AR1034" t="inlineStr">
        <is>
          <t>No</t>
        </is>
      </c>
      <c r="AS1034" t="inlineStr">
        <is>
          <t>No</t>
        </is>
      </c>
      <c r="AU1034">
        <f>HYPERLINK("https://creighton-primo.hosted.exlibrisgroup.com/primo-explore/search?tab=default_tab&amp;search_scope=EVERYTHING&amp;vid=01CRU&amp;lang=en_US&amp;offset=0&amp;query=any,contains,991003670309702656","Catalog Record")</f>
        <v/>
      </c>
      <c r="AV1034">
        <f>HYPERLINK("http://www.worldcat.org/oclc/39212170","WorldCat Record")</f>
        <v/>
      </c>
      <c r="AW1034" t="inlineStr">
        <is>
          <t>2218772523:spa</t>
        </is>
      </c>
      <c r="AX1034" t="inlineStr">
        <is>
          <t>39212170</t>
        </is>
      </c>
      <c r="AY1034" t="inlineStr">
        <is>
          <t>991003670309702656</t>
        </is>
      </c>
      <c r="AZ1034" t="inlineStr">
        <is>
          <t>991003670309702656</t>
        </is>
      </c>
      <c r="BA1034" t="inlineStr">
        <is>
          <t>2269108540002656</t>
        </is>
      </c>
      <c r="BB1034" t="inlineStr">
        <is>
          <t>BOOK</t>
        </is>
      </c>
      <c r="BE1034" t="inlineStr">
        <is>
          <t>32285004419015</t>
        </is>
      </c>
      <c r="BF1034" t="inlineStr">
        <is>
          <t>893336780</t>
        </is>
      </c>
    </row>
    <row r="1035">
      <c r="A1035" t="inlineStr">
        <is>
          <t>No</t>
        </is>
      </c>
      <c r="B1035" t="inlineStr">
        <is>
          <t>CURAL</t>
        </is>
      </c>
      <c r="C1035" t="inlineStr">
        <is>
          <t>SHELVES</t>
        </is>
      </c>
      <c r="D1035" t="inlineStr">
        <is>
          <t>PQ7539.A6 C76 1996</t>
        </is>
      </c>
      <c r="E1035" t="inlineStr">
        <is>
          <t>0                      PQ 7539000A  6                  C  76          1996</t>
        </is>
      </c>
      <c r="F1035" t="inlineStr">
        <is>
          <t>Crónicas / Arturo Ambrogi.</t>
        </is>
      </c>
      <c r="H1035" t="inlineStr">
        <is>
          <t>No</t>
        </is>
      </c>
      <c r="I1035" t="inlineStr">
        <is>
          <t>1</t>
        </is>
      </c>
      <c r="J1035" t="inlineStr">
        <is>
          <t>No</t>
        </is>
      </c>
      <c r="K1035" t="inlineStr">
        <is>
          <t>No</t>
        </is>
      </c>
      <c r="L1035" t="inlineStr">
        <is>
          <t>0</t>
        </is>
      </c>
      <c r="M1035" t="inlineStr">
        <is>
          <t>Ambrogi, Arturo, 1874-1936.</t>
        </is>
      </c>
      <c r="N1035" t="inlineStr">
        <is>
          <t>San Salvador : Consejo Nacional para la Cultura y el Arte Concultura, 1996.</t>
        </is>
      </c>
      <c r="O1035" t="inlineStr">
        <is>
          <t>1996</t>
        </is>
      </c>
      <c r="P1035" t="inlineStr">
        <is>
          <t>1. ed.</t>
        </is>
      </c>
      <c r="Q1035" t="inlineStr">
        <is>
          <t>spa</t>
        </is>
      </c>
      <c r="R1035" t="inlineStr">
        <is>
          <t xml:space="preserve">es </t>
        </is>
      </c>
      <c r="S1035" t="inlineStr">
        <is>
          <t>Biblioteca básica de literatura salvadoreña ; v. 3</t>
        </is>
      </c>
      <c r="T1035" t="inlineStr">
        <is>
          <t xml:space="preserve">PQ </t>
        </is>
      </c>
      <c r="U1035" t="n">
        <v>1</v>
      </c>
      <c r="V1035" t="n">
        <v>1</v>
      </c>
      <c r="W1035" t="inlineStr">
        <is>
          <t>2001-11-08</t>
        </is>
      </c>
      <c r="X1035" t="inlineStr">
        <is>
          <t>2001-11-08</t>
        </is>
      </c>
      <c r="Y1035" t="inlineStr">
        <is>
          <t>2001-11-07</t>
        </is>
      </c>
      <c r="Z1035" t="inlineStr">
        <is>
          <t>2001-11-07</t>
        </is>
      </c>
      <c r="AA1035" t="n">
        <v>49</v>
      </c>
      <c r="AB1035" t="n">
        <v>41</v>
      </c>
      <c r="AC1035" t="n">
        <v>41</v>
      </c>
      <c r="AD1035" t="n">
        <v>1</v>
      </c>
      <c r="AE1035" t="n">
        <v>1</v>
      </c>
      <c r="AF1035" t="n">
        <v>1</v>
      </c>
      <c r="AG1035" t="n">
        <v>1</v>
      </c>
      <c r="AH1035" t="n">
        <v>0</v>
      </c>
      <c r="AI1035" t="n">
        <v>0</v>
      </c>
      <c r="AJ1035" t="n">
        <v>1</v>
      </c>
      <c r="AK1035" t="n">
        <v>1</v>
      </c>
      <c r="AL1035" t="n">
        <v>0</v>
      </c>
      <c r="AM1035" t="n">
        <v>0</v>
      </c>
      <c r="AN1035" t="n">
        <v>0</v>
      </c>
      <c r="AO1035" t="n">
        <v>0</v>
      </c>
      <c r="AP1035" t="n">
        <v>0</v>
      </c>
      <c r="AQ1035" t="n">
        <v>0</v>
      </c>
      <c r="AR1035" t="inlineStr">
        <is>
          <t>No</t>
        </is>
      </c>
      <c r="AS1035" t="inlineStr">
        <is>
          <t>No</t>
        </is>
      </c>
      <c r="AU1035">
        <f>HYPERLINK("https://creighton-primo.hosted.exlibrisgroup.com/primo-explore/search?tab=default_tab&amp;search_scope=EVERYTHING&amp;vid=01CRU&amp;lang=en_US&amp;offset=0&amp;query=any,contains,991003669579702656","Catalog Record")</f>
        <v/>
      </c>
      <c r="AV1035">
        <f>HYPERLINK("http://www.worldcat.org/oclc/39146652","WorldCat Record")</f>
        <v/>
      </c>
      <c r="AW1035" t="inlineStr">
        <is>
          <t>9246498793:spa</t>
        </is>
      </c>
      <c r="AX1035" t="inlineStr">
        <is>
          <t>39146652</t>
        </is>
      </c>
      <c r="AY1035" t="inlineStr">
        <is>
          <t>991003669579702656</t>
        </is>
      </c>
      <c r="AZ1035" t="inlineStr">
        <is>
          <t>991003669579702656</t>
        </is>
      </c>
      <c r="BA1035" t="inlineStr">
        <is>
          <t>2262512270002656</t>
        </is>
      </c>
      <c r="BB1035" t="inlineStr">
        <is>
          <t>BOOK</t>
        </is>
      </c>
      <c r="BE1035" t="inlineStr">
        <is>
          <t>32285004419130</t>
        </is>
      </c>
      <c r="BF1035" t="inlineStr">
        <is>
          <t>893893975</t>
        </is>
      </c>
    </row>
    <row r="1036">
      <c r="A1036" t="inlineStr">
        <is>
          <t>No</t>
        </is>
      </c>
      <c r="B1036" t="inlineStr">
        <is>
          <t>CURAL</t>
        </is>
      </c>
      <c r="C1036" t="inlineStr">
        <is>
          <t>SHELVES</t>
        </is>
      </c>
      <c r="D1036" t="inlineStr">
        <is>
          <t>PQ7539.B7 A6 1996</t>
        </is>
      </c>
      <c r="E1036" t="inlineStr">
        <is>
          <t>0                      PQ 7539000B  7                  A  6           1996</t>
        </is>
      </c>
      <c r="F1036" t="inlineStr">
        <is>
          <t>La casa de vidrio y otros poemas / Claudia Lars.</t>
        </is>
      </c>
      <c r="H1036" t="inlineStr">
        <is>
          <t>No</t>
        </is>
      </c>
      <c r="I1036" t="inlineStr">
        <is>
          <t>1</t>
        </is>
      </c>
      <c r="J1036" t="inlineStr">
        <is>
          <t>No</t>
        </is>
      </c>
      <c r="K1036" t="inlineStr">
        <is>
          <t>No</t>
        </is>
      </c>
      <c r="L1036" t="inlineStr">
        <is>
          <t>0</t>
        </is>
      </c>
      <c r="M1036" t="inlineStr">
        <is>
          <t>Lars, Claudia, 1899-1974.</t>
        </is>
      </c>
      <c r="N1036" t="inlineStr">
        <is>
          <t>San Salvador : Consejo Nacional para la Cultura y el Arte, 1996</t>
        </is>
      </c>
      <c r="O1036" t="inlineStr">
        <is>
          <t>1996</t>
        </is>
      </c>
      <c r="P1036" t="inlineStr">
        <is>
          <t>1. ed.</t>
        </is>
      </c>
      <c r="Q1036" t="inlineStr">
        <is>
          <t>spa</t>
        </is>
      </c>
      <c r="R1036" t="inlineStr">
        <is>
          <t xml:space="preserve">es </t>
        </is>
      </c>
      <c r="S1036" t="inlineStr">
        <is>
          <t>Biblioteca básica de literatura salvadoreña ; v. 4</t>
        </is>
      </c>
      <c r="T1036" t="inlineStr">
        <is>
          <t xml:space="preserve">PQ </t>
        </is>
      </c>
      <c r="U1036" t="n">
        <v>1</v>
      </c>
      <c r="V1036" t="n">
        <v>1</v>
      </c>
      <c r="W1036" t="inlineStr">
        <is>
          <t>2001-11-08</t>
        </is>
      </c>
      <c r="X1036" t="inlineStr">
        <is>
          <t>2001-11-08</t>
        </is>
      </c>
      <c r="Y1036" t="inlineStr">
        <is>
          <t>2001-11-07</t>
        </is>
      </c>
      <c r="Z1036" t="inlineStr">
        <is>
          <t>2001-11-07</t>
        </is>
      </c>
      <c r="AA1036" t="n">
        <v>42</v>
      </c>
      <c r="AB1036" t="n">
        <v>36</v>
      </c>
      <c r="AC1036" t="n">
        <v>69</v>
      </c>
      <c r="AD1036" t="n">
        <v>1</v>
      </c>
      <c r="AE1036" t="n">
        <v>1</v>
      </c>
      <c r="AF1036" t="n">
        <v>1</v>
      </c>
      <c r="AG1036" t="n">
        <v>1</v>
      </c>
      <c r="AH1036" t="n">
        <v>0</v>
      </c>
      <c r="AI1036" t="n">
        <v>0</v>
      </c>
      <c r="AJ1036" t="n">
        <v>1</v>
      </c>
      <c r="AK1036" t="n">
        <v>1</v>
      </c>
      <c r="AL1036" t="n">
        <v>0</v>
      </c>
      <c r="AM1036" t="n">
        <v>0</v>
      </c>
      <c r="AN1036" t="n">
        <v>0</v>
      </c>
      <c r="AO1036" t="n">
        <v>0</v>
      </c>
      <c r="AP1036" t="n">
        <v>0</v>
      </c>
      <c r="AQ1036" t="n">
        <v>0</v>
      </c>
      <c r="AR1036" t="inlineStr">
        <is>
          <t>No</t>
        </is>
      </c>
      <c r="AS1036" t="inlineStr">
        <is>
          <t>No</t>
        </is>
      </c>
      <c r="AU1036">
        <f>HYPERLINK("https://creighton-primo.hosted.exlibrisgroup.com/primo-explore/search?tab=default_tab&amp;search_scope=EVERYTHING&amp;vid=01CRU&amp;lang=en_US&amp;offset=0&amp;query=any,contains,991003669619702656","Catalog Record")</f>
        <v/>
      </c>
      <c r="AV1036">
        <f>HYPERLINK("http://www.worldcat.org/oclc/37393065","WorldCat Record")</f>
        <v/>
      </c>
      <c r="AW1036" t="inlineStr">
        <is>
          <t>1028112856:spa</t>
        </is>
      </c>
      <c r="AX1036" t="inlineStr">
        <is>
          <t>37393065</t>
        </is>
      </c>
      <c r="AY1036" t="inlineStr">
        <is>
          <t>991003669619702656</t>
        </is>
      </c>
      <c r="AZ1036" t="inlineStr">
        <is>
          <t>991003669619702656</t>
        </is>
      </c>
      <c r="BA1036" t="inlineStr">
        <is>
          <t>2262564360002656</t>
        </is>
      </c>
      <c r="BB1036" t="inlineStr">
        <is>
          <t>BOOK</t>
        </is>
      </c>
      <c r="BE1036" t="inlineStr">
        <is>
          <t>32285004419122</t>
        </is>
      </c>
      <c r="BF1036" t="inlineStr">
        <is>
          <t>893525084</t>
        </is>
      </c>
    </row>
    <row r="1037">
      <c r="A1037" t="inlineStr">
        <is>
          <t>No</t>
        </is>
      </c>
      <c r="B1037" t="inlineStr">
        <is>
          <t>CURAL</t>
        </is>
      </c>
      <c r="C1037" t="inlineStr">
        <is>
          <t>SHELVES</t>
        </is>
      </c>
      <c r="D1037" t="inlineStr">
        <is>
          <t>PQ7539.E66 T54 1997</t>
        </is>
      </c>
      <c r="E1037" t="inlineStr">
        <is>
          <t>0                      PQ 7539000E  66                 T  54          1997</t>
        </is>
      </c>
      <c r="F1037" t="inlineStr">
        <is>
          <t>Tierra azul donde el venado cruza / Oswaldo Escobar Velado ; selección y presentación, José Roberto Cea.</t>
        </is>
      </c>
      <c r="H1037" t="inlineStr">
        <is>
          <t>No</t>
        </is>
      </c>
      <c r="I1037" t="inlineStr">
        <is>
          <t>1</t>
        </is>
      </c>
      <c r="J1037" t="inlineStr">
        <is>
          <t>No</t>
        </is>
      </c>
      <c r="K1037" t="inlineStr">
        <is>
          <t>No</t>
        </is>
      </c>
      <c r="L1037" t="inlineStr">
        <is>
          <t>0</t>
        </is>
      </c>
      <c r="M1037" t="inlineStr">
        <is>
          <t>Escobar Velado, Oswaldo.</t>
        </is>
      </c>
      <c r="N1037" t="inlineStr">
        <is>
          <t>San Salvador : Dirección de Publicaciones e Impresos, Consejo Nacional para la Cultura y el Arte, 1997.</t>
        </is>
      </c>
      <c r="O1037" t="inlineStr">
        <is>
          <t>1997</t>
        </is>
      </c>
      <c r="P1037" t="inlineStr">
        <is>
          <t>1. ed.</t>
        </is>
      </c>
      <c r="Q1037" t="inlineStr">
        <is>
          <t>spa</t>
        </is>
      </c>
      <c r="R1037" t="inlineStr">
        <is>
          <t xml:space="preserve">es </t>
        </is>
      </c>
      <c r="S1037" t="inlineStr">
        <is>
          <t>Biblioteca básica de literatura salvadoreña ; v. 17</t>
        </is>
      </c>
      <c r="T1037" t="inlineStr">
        <is>
          <t xml:space="preserve">PQ </t>
        </is>
      </c>
      <c r="U1037" t="n">
        <v>1</v>
      </c>
      <c r="V1037" t="n">
        <v>1</v>
      </c>
      <c r="W1037" t="inlineStr">
        <is>
          <t>2001-11-08</t>
        </is>
      </c>
      <c r="X1037" t="inlineStr">
        <is>
          <t>2001-11-08</t>
        </is>
      </c>
      <c r="Y1037" t="inlineStr">
        <is>
          <t>2001-11-07</t>
        </is>
      </c>
      <c r="Z1037" t="inlineStr">
        <is>
          <t>2001-11-07</t>
        </is>
      </c>
      <c r="AA1037" t="n">
        <v>35</v>
      </c>
      <c r="AB1037" t="n">
        <v>32</v>
      </c>
      <c r="AC1037" t="n">
        <v>35</v>
      </c>
      <c r="AD1037" t="n">
        <v>1</v>
      </c>
      <c r="AE1037" t="n">
        <v>1</v>
      </c>
      <c r="AF1037" t="n">
        <v>1</v>
      </c>
      <c r="AG1037" t="n">
        <v>1</v>
      </c>
      <c r="AH1037" t="n">
        <v>0</v>
      </c>
      <c r="AI1037" t="n">
        <v>0</v>
      </c>
      <c r="AJ1037" t="n">
        <v>1</v>
      </c>
      <c r="AK1037" t="n">
        <v>1</v>
      </c>
      <c r="AL1037" t="n">
        <v>0</v>
      </c>
      <c r="AM1037" t="n">
        <v>0</v>
      </c>
      <c r="AN1037" t="n">
        <v>0</v>
      </c>
      <c r="AO1037" t="n">
        <v>0</v>
      </c>
      <c r="AP1037" t="n">
        <v>0</v>
      </c>
      <c r="AQ1037" t="n">
        <v>0</v>
      </c>
      <c r="AR1037" t="inlineStr">
        <is>
          <t>No</t>
        </is>
      </c>
      <c r="AS1037" t="inlineStr">
        <is>
          <t>Yes</t>
        </is>
      </c>
      <c r="AT1037">
        <f>HYPERLINK("http://catalog.hathitrust.org/Record/101117954","HathiTrust Record")</f>
        <v/>
      </c>
      <c r="AU1037">
        <f>HYPERLINK("https://creighton-primo.hosted.exlibrisgroup.com/primo-explore/search?tab=default_tab&amp;search_scope=EVERYTHING&amp;vid=01CRU&amp;lang=en_US&amp;offset=0&amp;query=any,contains,991003670279702656","Catalog Record")</f>
        <v/>
      </c>
      <c r="AV1037">
        <f>HYPERLINK("http://www.worldcat.org/oclc/39212253","WorldCat Record")</f>
        <v/>
      </c>
      <c r="AW1037" t="inlineStr">
        <is>
          <t>41690557:spa</t>
        </is>
      </c>
      <c r="AX1037" t="inlineStr">
        <is>
          <t>39212253</t>
        </is>
      </c>
      <c r="AY1037" t="inlineStr">
        <is>
          <t>991003670279702656</t>
        </is>
      </c>
      <c r="AZ1037" t="inlineStr">
        <is>
          <t>991003670279702656</t>
        </is>
      </c>
      <c r="BA1037" t="inlineStr">
        <is>
          <t>2269183050002656</t>
        </is>
      </c>
      <c r="BB1037" t="inlineStr">
        <is>
          <t>BOOK</t>
        </is>
      </c>
      <c r="BE1037" t="inlineStr">
        <is>
          <t>32285004419023</t>
        </is>
      </c>
      <c r="BF1037" t="inlineStr">
        <is>
          <t>893246602</t>
        </is>
      </c>
    </row>
    <row r="1038">
      <c r="A1038" t="inlineStr">
        <is>
          <t>No</t>
        </is>
      </c>
      <c r="B1038" t="inlineStr">
        <is>
          <t>CURAL</t>
        </is>
      </c>
      <c r="C1038" t="inlineStr">
        <is>
          <t>SHELVES</t>
        </is>
      </c>
      <c r="D1038" t="inlineStr">
        <is>
          <t>PQ7539.E7 J5 1996</t>
        </is>
      </c>
      <c r="E1038" t="inlineStr">
        <is>
          <t>0                      PQ 7539000E  7                  J  5           1996</t>
        </is>
      </c>
      <c r="F1038" t="inlineStr">
        <is>
          <t>Jícaras tristes / Alfredo Espino.</t>
        </is>
      </c>
      <c r="H1038" t="inlineStr">
        <is>
          <t>No</t>
        </is>
      </c>
      <c r="I1038" t="inlineStr">
        <is>
          <t>1</t>
        </is>
      </c>
      <c r="J1038" t="inlineStr">
        <is>
          <t>No</t>
        </is>
      </c>
      <c r="K1038" t="inlineStr">
        <is>
          <t>No</t>
        </is>
      </c>
      <c r="L1038" t="inlineStr">
        <is>
          <t>0</t>
        </is>
      </c>
      <c r="M1038" t="inlineStr">
        <is>
          <t>Espino, Alfredo.</t>
        </is>
      </c>
      <c r="N1038" t="inlineStr">
        <is>
          <t>San Salvador, El Salvador : Consejo Nacional para la Cultura y el Arte, 1996.</t>
        </is>
      </c>
      <c r="O1038" t="inlineStr">
        <is>
          <t>1996</t>
        </is>
      </c>
      <c r="P1038" t="inlineStr">
        <is>
          <t>1. ed.</t>
        </is>
      </c>
      <c r="Q1038" t="inlineStr">
        <is>
          <t>spa</t>
        </is>
      </c>
      <c r="R1038" t="inlineStr">
        <is>
          <t xml:space="preserve">es </t>
        </is>
      </c>
      <c r="S1038" t="inlineStr">
        <is>
          <t>Biblioteca básica de literatura salvadoreña ; v. 6</t>
        </is>
      </c>
      <c r="T1038" t="inlineStr">
        <is>
          <t xml:space="preserve">PQ </t>
        </is>
      </c>
      <c r="U1038" t="n">
        <v>1</v>
      </c>
      <c r="V1038" t="n">
        <v>1</v>
      </c>
      <c r="W1038" t="inlineStr">
        <is>
          <t>2001-11-08</t>
        </is>
      </c>
      <c r="X1038" t="inlineStr">
        <is>
          <t>2001-11-08</t>
        </is>
      </c>
      <c r="Y1038" t="inlineStr">
        <is>
          <t>2001-11-07</t>
        </is>
      </c>
      <c r="Z1038" t="inlineStr">
        <is>
          <t>2001-11-07</t>
        </is>
      </c>
      <c r="AA1038" t="n">
        <v>39</v>
      </c>
      <c r="AB1038" t="n">
        <v>32</v>
      </c>
      <c r="AC1038" t="n">
        <v>96</v>
      </c>
      <c r="AD1038" t="n">
        <v>1</v>
      </c>
      <c r="AE1038" t="n">
        <v>1</v>
      </c>
      <c r="AF1038" t="n">
        <v>1</v>
      </c>
      <c r="AG1038" t="n">
        <v>2</v>
      </c>
      <c r="AH1038" t="n">
        <v>0</v>
      </c>
      <c r="AI1038" t="n">
        <v>0</v>
      </c>
      <c r="AJ1038" t="n">
        <v>1</v>
      </c>
      <c r="AK1038" t="n">
        <v>2</v>
      </c>
      <c r="AL1038" t="n">
        <v>0</v>
      </c>
      <c r="AM1038" t="n">
        <v>1</v>
      </c>
      <c r="AN1038" t="n">
        <v>0</v>
      </c>
      <c r="AO1038" t="n">
        <v>0</v>
      </c>
      <c r="AP1038" t="n">
        <v>0</v>
      </c>
      <c r="AQ1038" t="n">
        <v>0</v>
      </c>
      <c r="AR1038" t="inlineStr">
        <is>
          <t>No</t>
        </is>
      </c>
      <c r="AS1038" t="inlineStr">
        <is>
          <t>No</t>
        </is>
      </c>
      <c r="AU1038">
        <f>HYPERLINK("https://creighton-primo.hosted.exlibrisgroup.com/primo-explore/search?tab=default_tab&amp;search_scope=EVERYTHING&amp;vid=01CRU&amp;lang=en_US&amp;offset=0&amp;query=any,contains,991003669669702656","Catalog Record")</f>
        <v/>
      </c>
      <c r="AV1038">
        <f>HYPERLINK("http://www.worldcat.org/oclc/39146586","WorldCat Record")</f>
        <v/>
      </c>
      <c r="AW1038" t="inlineStr">
        <is>
          <t>5300782:spa</t>
        </is>
      </c>
      <c r="AX1038" t="inlineStr">
        <is>
          <t>39146586</t>
        </is>
      </c>
      <c r="AY1038" t="inlineStr">
        <is>
          <t>991003669669702656</t>
        </is>
      </c>
      <c r="AZ1038" t="inlineStr">
        <is>
          <t>991003669669702656</t>
        </is>
      </c>
      <c r="BA1038" t="inlineStr">
        <is>
          <t>2262541520002656</t>
        </is>
      </c>
      <c r="BB1038" t="inlineStr">
        <is>
          <t>BOOK</t>
        </is>
      </c>
      <c r="BE1038" t="inlineStr">
        <is>
          <t>32285004419106</t>
        </is>
      </c>
      <c r="BF1038" t="inlineStr">
        <is>
          <t>893234424</t>
        </is>
      </c>
    </row>
    <row r="1039">
      <c r="A1039" t="inlineStr">
        <is>
          <t>No</t>
        </is>
      </c>
      <c r="B1039" t="inlineStr">
        <is>
          <t>CURAL</t>
        </is>
      </c>
      <c r="C1039" t="inlineStr">
        <is>
          <t>SHELVES</t>
        </is>
      </c>
      <c r="D1039" t="inlineStr">
        <is>
          <t>PQ7539.G4 N5 1996</t>
        </is>
      </c>
      <c r="E1039" t="inlineStr">
        <is>
          <t>0                      PQ 7539000G  4                  N  5           1996</t>
        </is>
      </c>
      <c r="F1039" t="inlineStr">
        <is>
          <t>Los nietos del jaguar / Pedro Geoffroy Rivas.</t>
        </is>
      </c>
      <c r="H1039" t="inlineStr">
        <is>
          <t>No</t>
        </is>
      </c>
      <c r="I1039" t="inlineStr">
        <is>
          <t>1</t>
        </is>
      </c>
      <c r="J1039" t="inlineStr">
        <is>
          <t>No</t>
        </is>
      </c>
      <c r="K1039" t="inlineStr">
        <is>
          <t>No</t>
        </is>
      </c>
      <c r="L1039" t="inlineStr">
        <is>
          <t>0</t>
        </is>
      </c>
      <c r="M1039" t="inlineStr">
        <is>
          <t>Geoffroy Rivas, Pedro.</t>
        </is>
      </c>
      <c r="N1039" t="inlineStr">
        <is>
          <t>San Salvador : Consejo Nacional para la Cultura y el Arte, 1996.</t>
        </is>
      </c>
      <c r="O1039" t="inlineStr">
        <is>
          <t>1996</t>
        </is>
      </c>
      <c r="P1039" t="inlineStr">
        <is>
          <t>1. ed.</t>
        </is>
      </c>
      <c r="Q1039" t="inlineStr">
        <is>
          <t>spa</t>
        </is>
      </c>
      <c r="R1039" t="inlineStr">
        <is>
          <t xml:space="preserve">es </t>
        </is>
      </c>
      <c r="S1039" t="inlineStr">
        <is>
          <t>Biblioteca básica de literatura salvadoreña ; v. 8</t>
        </is>
      </c>
      <c r="T1039" t="inlineStr">
        <is>
          <t xml:space="preserve">PQ </t>
        </is>
      </c>
      <c r="U1039" t="n">
        <v>1</v>
      </c>
      <c r="V1039" t="n">
        <v>1</v>
      </c>
      <c r="W1039" t="inlineStr">
        <is>
          <t>2001-11-08</t>
        </is>
      </c>
      <c r="X1039" t="inlineStr">
        <is>
          <t>2001-11-08</t>
        </is>
      </c>
      <c r="Y1039" t="inlineStr">
        <is>
          <t>2001-11-07</t>
        </is>
      </c>
      <c r="Z1039" t="inlineStr">
        <is>
          <t>2001-11-07</t>
        </is>
      </c>
      <c r="AA1039" t="n">
        <v>43</v>
      </c>
      <c r="AB1039" t="n">
        <v>40</v>
      </c>
      <c r="AC1039" t="n">
        <v>51</v>
      </c>
      <c r="AD1039" t="n">
        <v>1</v>
      </c>
      <c r="AE1039" t="n">
        <v>1</v>
      </c>
      <c r="AF1039" t="n">
        <v>1</v>
      </c>
      <c r="AG1039" t="n">
        <v>1</v>
      </c>
      <c r="AH1039" t="n">
        <v>0</v>
      </c>
      <c r="AI1039" t="n">
        <v>0</v>
      </c>
      <c r="AJ1039" t="n">
        <v>1</v>
      </c>
      <c r="AK1039" t="n">
        <v>1</v>
      </c>
      <c r="AL1039" t="n">
        <v>0</v>
      </c>
      <c r="AM1039" t="n">
        <v>0</v>
      </c>
      <c r="AN1039" t="n">
        <v>0</v>
      </c>
      <c r="AO1039" t="n">
        <v>0</v>
      </c>
      <c r="AP1039" t="n">
        <v>0</v>
      </c>
      <c r="AQ1039" t="n">
        <v>0</v>
      </c>
      <c r="AR1039" t="inlineStr">
        <is>
          <t>No</t>
        </is>
      </c>
      <c r="AS1039" t="inlineStr">
        <is>
          <t>No</t>
        </is>
      </c>
      <c r="AU1039">
        <f>HYPERLINK("https://creighton-primo.hosted.exlibrisgroup.com/primo-explore/search?tab=default_tab&amp;search_scope=EVERYTHING&amp;vid=01CRU&amp;lang=en_US&amp;offset=0&amp;query=any,contains,991003669739702656","Catalog Record")</f>
        <v/>
      </c>
      <c r="AV1039">
        <f>HYPERLINK("http://www.worldcat.org/oclc/37393064","WorldCat Record")</f>
        <v/>
      </c>
      <c r="AW1039" t="inlineStr">
        <is>
          <t>5091216560:spa</t>
        </is>
      </c>
      <c r="AX1039" t="inlineStr">
        <is>
          <t>37393064</t>
        </is>
      </c>
      <c r="AY1039" t="inlineStr">
        <is>
          <t>991003669739702656</t>
        </is>
      </c>
      <c r="AZ1039" t="inlineStr">
        <is>
          <t>991003669739702656</t>
        </is>
      </c>
      <c r="BA1039" t="inlineStr">
        <is>
          <t>2262564670002656</t>
        </is>
      </c>
      <c r="BB1039" t="inlineStr">
        <is>
          <t>BOOK</t>
        </is>
      </c>
      <c r="BE1039" t="inlineStr">
        <is>
          <t>32285004419098</t>
        </is>
      </c>
      <c r="BF1039" t="inlineStr">
        <is>
          <t>893505848</t>
        </is>
      </c>
    </row>
    <row r="1040">
      <c r="A1040" t="inlineStr">
        <is>
          <t>No</t>
        </is>
      </c>
      <c r="B1040" t="inlineStr">
        <is>
          <t>CURAL</t>
        </is>
      </c>
      <c r="C1040" t="inlineStr">
        <is>
          <t>SHELVES</t>
        </is>
      </c>
      <c r="D1040" t="inlineStr">
        <is>
          <t>PQ7539.L5 A84 1996</t>
        </is>
      </c>
      <c r="E1040" t="inlineStr">
        <is>
          <t>0                      PQ 7539000L  5                  A  84          1996</t>
        </is>
      </c>
      <c r="F1040" t="inlineStr">
        <is>
          <t>Aquí se cuentan cuentos / Hugo Lindo.</t>
        </is>
      </c>
      <c r="H1040" t="inlineStr">
        <is>
          <t>No</t>
        </is>
      </c>
      <c r="I1040" t="inlineStr">
        <is>
          <t>1</t>
        </is>
      </c>
      <c r="J1040" t="inlineStr">
        <is>
          <t>No</t>
        </is>
      </c>
      <c r="K1040" t="inlineStr">
        <is>
          <t>No</t>
        </is>
      </c>
      <c r="L1040" t="inlineStr">
        <is>
          <t>0</t>
        </is>
      </c>
      <c r="M1040" t="inlineStr">
        <is>
          <t>Lindo, Hugo, 1917-1985.</t>
        </is>
      </c>
      <c r="N1040" t="inlineStr">
        <is>
          <t>San Salvador, El Salvador : Consejo Nacional para la Cultura y el Arte, 1996.</t>
        </is>
      </c>
      <c r="O1040" t="inlineStr">
        <is>
          <t>1996</t>
        </is>
      </c>
      <c r="P1040" t="inlineStr">
        <is>
          <t>1. ed.</t>
        </is>
      </c>
      <c r="Q1040" t="inlineStr">
        <is>
          <t>spa</t>
        </is>
      </c>
      <c r="R1040" t="inlineStr">
        <is>
          <t xml:space="preserve">es </t>
        </is>
      </c>
      <c r="S1040" t="inlineStr">
        <is>
          <t>Biblioteca básica de literatura salvadoreña ; v. 9</t>
        </is>
      </c>
      <c r="T1040" t="inlineStr">
        <is>
          <t xml:space="preserve">PQ </t>
        </is>
      </c>
      <c r="U1040" t="n">
        <v>1</v>
      </c>
      <c r="V1040" t="n">
        <v>1</v>
      </c>
      <c r="W1040" t="inlineStr">
        <is>
          <t>2001-11-08</t>
        </is>
      </c>
      <c r="X1040" t="inlineStr">
        <is>
          <t>2001-11-08</t>
        </is>
      </c>
      <c r="Y1040" t="inlineStr">
        <is>
          <t>2001-11-07</t>
        </is>
      </c>
      <c r="Z1040" t="inlineStr">
        <is>
          <t>2001-11-07</t>
        </is>
      </c>
      <c r="AA1040" t="n">
        <v>45</v>
      </c>
      <c r="AB1040" t="n">
        <v>40</v>
      </c>
      <c r="AC1040" t="n">
        <v>82</v>
      </c>
      <c r="AD1040" t="n">
        <v>1</v>
      </c>
      <c r="AE1040" t="n">
        <v>1</v>
      </c>
      <c r="AF1040" t="n">
        <v>1</v>
      </c>
      <c r="AG1040" t="n">
        <v>1</v>
      </c>
      <c r="AH1040" t="n">
        <v>0</v>
      </c>
      <c r="AI1040" t="n">
        <v>0</v>
      </c>
      <c r="AJ1040" t="n">
        <v>1</v>
      </c>
      <c r="AK1040" t="n">
        <v>1</v>
      </c>
      <c r="AL1040" t="n">
        <v>0</v>
      </c>
      <c r="AM1040" t="n">
        <v>0</v>
      </c>
      <c r="AN1040" t="n">
        <v>0</v>
      </c>
      <c r="AO1040" t="n">
        <v>0</v>
      </c>
      <c r="AP1040" t="n">
        <v>0</v>
      </c>
      <c r="AQ1040" t="n">
        <v>0</v>
      </c>
      <c r="AR1040" t="inlineStr">
        <is>
          <t>No</t>
        </is>
      </c>
      <c r="AS1040" t="inlineStr">
        <is>
          <t>No</t>
        </is>
      </c>
      <c r="AU1040">
        <f>HYPERLINK("https://creighton-primo.hosted.exlibrisgroup.com/primo-explore/search?tab=default_tab&amp;search_scope=EVERYTHING&amp;vid=01CRU&amp;lang=en_US&amp;offset=0&amp;query=any,contains,991003669789702656","Catalog Record")</f>
        <v/>
      </c>
      <c r="AV1040">
        <f>HYPERLINK("http://www.worldcat.org/oclc/37426770","WorldCat Record")</f>
        <v/>
      </c>
      <c r="AW1040" t="inlineStr">
        <is>
          <t>7423336:spa</t>
        </is>
      </c>
      <c r="AX1040" t="inlineStr">
        <is>
          <t>37426770</t>
        </is>
      </c>
      <c r="AY1040" t="inlineStr">
        <is>
          <t>991003669789702656</t>
        </is>
      </c>
      <c r="AZ1040" t="inlineStr">
        <is>
          <t>991003669789702656</t>
        </is>
      </c>
      <c r="BA1040" t="inlineStr">
        <is>
          <t>2272712680002656</t>
        </is>
      </c>
      <c r="BB1040" t="inlineStr">
        <is>
          <t>BOOK</t>
        </is>
      </c>
      <c r="BE1040" t="inlineStr">
        <is>
          <t>32285004419072</t>
        </is>
      </c>
      <c r="BF1040" t="inlineStr">
        <is>
          <t>893429062</t>
        </is>
      </c>
    </row>
    <row r="1041">
      <c r="A1041" t="inlineStr">
        <is>
          <t>No</t>
        </is>
      </c>
      <c r="B1041" t="inlineStr">
        <is>
          <t>CURAL</t>
        </is>
      </c>
      <c r="C1041" t="inlineStr">
        <is>
          <t>SHELVES</t>
        </is>
      </c>
      <c r="D1041" t="inlineStr">
        <is>
          <t>PQ7539.M3 E57 1996</t>
        </is>
      </c>
      <c r="E1041" t="inlineStr">
        <is>
          <t>0                      PQ 7539000M  3                  E  57          1996</t>
        </is>
      </c>
      <c r="F1041" t="inlineStr">
        <is>
          <t>Ensayos / Alberto Masferrer.</t>
        </is>
      </c>
      <c r="H1041" t="inlineStr">
        <is>
          <t>No</t>
        </is>
      </c>
      <c r="I1041" t="inlineStr">
        <is>
          <t>1</t>
        </is>
      </c>
      <c r="J1041" t="inlineStr">
        <is>
          <t>No</t>
        </is>
      </c>
      <c r="K1041" t="inlineStr">
        <is>
          <t>No</t>
        </is>
      </c>
      <c r="L1041" t="inlineStr">
        <is>
          <t>0</t>
        </is>
      </c>
      <c r="M1041" t="inlineStr">
        <is>
          <t>Masferrer, Alberto, 1868-1932.</t>
        </is>
      </c>
      <c r="N1041" t="inlineStr">
        <is>
          <t>San Salvador : Consejo Nacional para la Cultura y el Arte, 1996.</t>
        </is>
      </c>
      <c r="O1041" t="inlineStr">
        <is>
          <t>1996</t>
        </is>
      </c>
      <c r="P1041" t="inlineStr">
        <is>
          <t>1. ed.</t>
        </is>
      </c>
      <c r="Q1041" t="inlineStr">
        <is>
          <t>spa</t>
        </is>
      </c>
      <c r="R1041" t="inlineStr">
        <is>
          <t xml:space="preserve">es </t>
        </is>
      </c>
      <c r="S1041" t="inlineStr">
        <is>
          <t>Biblioteca básica de literatura salvadoreña ; v. 2</t>
        </is>
      </c>
      <c r="T1041" t="inlineStr">
        <is>
          <t xml:space="preserve">PQ </t>
        </is>
      </c>
      <c r="U1041" t="n">
        <v>1</v>
      </c>
      <c r="V1041" t="n">
        <v>1</v>
      </c>
      <c r="W1041" t="inlineStr">
        <is>
          <t>2001-11-08</t>
        </is>
      </c>
      <c r="X1041" t="inlineStr">
        <is>
          <t>2001-11-08</t>
        </is>
      </c>
      <c r="Y1041" t="inlineStr">
        <is>
          <t>2001-11-07</t>
        </is>
      </c>
      <c r="Z1041" t="inlineStr">
        <is>
          <t>2001-11-07</t>
        </is>
      </c>
      <c r="AA1041" t="n">
        <v>46</v>
      </c>
      <c r="AB1041" t="n">
        <v>41</v>
      </c>
      <c r="AC1041" t="n">
        <v>41</v>
      </c>
      <c r="AD1041" t="n">
        <v>1</v>
      </c>
      <c r="AE1041" t="n">
        <v>1</v>
      </c>
      <c r="AF1041" t="n">
        <v>1</v>
      </c>
      <c r="AG1041" t="n">
        <v>1</v>
      </c>
      <c r="AH1041" t="n">
        <v>0</v>
      </c>
      <c r="AI1041" t="n">
        <v>0</v>
      </c>
      <c r="AJ1041" t="n">
        <v>1</v>
      </c>
      <c r="AK1041" t="n">
        <v>1</v>
      </c>
      <c r="AL1041" t="n">
        <v>0</v>
      </c>
      <c r="AM1041" t="n">
        <v>0</v>
      </c>
      <c r="AN1041" t="n">
        <v>0</v>
      </c>
      <c r="AO1041" t="n">
        <v>0</v>
      </c>
      <c r="AP1041" t="n">
        <v>0</v>
      </c>
      <c r="AQ1041" t="n">
        <v>0</v>
      </c>
      <c r="AR1041" t="inlineStr">
        <is>
          <t>No</t>
        </is>
      </c>
      <c r="AS1041" t="inlineStr">
        <is>
          <t>No</t>
        </is>
      </c>
      <c r="AU1041">
        <f>HYPERLINK("https://creighton-primo.hosted.exlibrisgroup.com/primo-explore/search?tab=default_tab&amp;search_scope=EVERYTHING&amp;vid=01CRU&amp;lang=en_US&amp;offset=0&amp;query=any,contains,991003669519702656","Catalog Record")</f>
        <v/>
      </c>
      <c r="AV1041">
        <f>HYPERLINK("http://www.worldcat.org/oclc/38439166","WorldCat Record")</f>
        <v/>
      </c>
      <c r="AW1041" t="inlineStr">
        <is>
          <t>42407122:spa</t>
        </is>
      </c>
      <c r="AX1041" t="inlineStr">
        <is>
          <t>38439166</t>
        </is>
      </c>
      <c r="AY1041" t="inlineStr">
        <is>
          <t>991003669519702656</t>
        </is>
      </c>
      <c r="AZ1041" t="inlineStr">
        <is>
          <t>991003669519702656</t>
        </is>
      </c>
      <c r="BA1041" t="inlineStr">
        <is>
          <t>2271052730002656</t>
        </is>
      </c>
      <c r="BB1041" t="inlineStr">
        <is>
          <t>BOOK</t>
        </is>
      </c>
      <c r="BE1041" t="inlineStr">
        <is>
          <t>32285004419148</t>
        </is>
      </c>
      <c r="BF1041" t="inlineStr">
        <is>
          <t>893246599</t>
        </is>
      </c>
    </row>
    <row r="1042">
      <c r="A1042" t="inlineStr">
        <is>
          <t>No</t>
        </is>
      </c>
      <c r="B1042" t="inlineStr">
        <is>
          <t>CURAL</t>
        </is>
      </c>
      <c r="C1042" t="inlineStr">
        <is>
          <t>SHELVES</t>
        </is>
      </c>
      <c r="D1042" t="inlineStr">
        <is>
          <t>PQ7539.Q5 C6 1997</t>
        </is>
      </c>
      <c r="E1042" t="inlineStr">
        <is>
          <t>0                      PQ 7539000Q  5                  C  6           1997</t>
        </is>
      </c>
      <c r="F1042" t="inlineStr">
        <is>
          <t>Corasón con s / Serafín Quiteño ; selección y presentación por David Escobar Galindo.</t>
        </is>
      </c>
      <c r="H1042" t="inlineStr">
        <is>
          <t>No</t>
        </is>
      </c>
      <c r="I1042" t="inlineStr">
        <is>
          <t>1</t>
        </is>
      </c>
      <c r="J1042" t="inlineStr">
        <is>
          <t>No</t>
        </is>
      </c>
      <c r="K1042" t="inlineStr">
        <is>
          <t>No</t>
        </is>
      </c>
      <c r="L1042" t="inlineStr">
        <is>
          <t>0</t>
        </is>
      </c>
      <c r="M1042" t="inlineStr">
        <is>
          <t>Quiteño, Serafín, 1906-1987.</t>
        </is>
      </c>
      <c r="N1042" t="inlineStr">
        <is>
          <t>San Salvador [El Salvador] : Dirección de Publicaciones e Impresos, Consejo Nacional para la Cultura y el Arte, 1997.</t>
        </is>
      </c>
      <c r="O1042" t="inlineStr">
        <is>
          <t>1997</t>
        </is>
      </c>
      <c r="P1042" t="inlineStr">
        <is>
          <t>1. ed.</t>
        </is>
      </c>
      <c r="Q1042" t="inlineStr">
        <is>
          <t>spa</t>
        </is>
      </c>
      <c r="R1042" t="inlineStr">
        <is>
          <t xml:space="preserve">es </t>
        </is>
      </c>
      <c r="S1042" t="inlineStr">
        <is>
          <t>Biblioteca básica de literatura salvadoreña ; v. 14</t>
        </is>
      </c>
      <c r="T1042" t="inlineStr">
        <is>
          <t xml:space="preserve">PQ </t>
        </is>
      </c>
      <c r="U1042" t="n">
        <v>1</v>
      </c>
      <c r="V1042" t="n">
        <v>1</v>
      </c>
      <c r="W1042" t="inlineStr">
        <is>
          <t>2001-11-08</t>
        </is>
      </c>
      <c r="X1042" t="inlineStr">
        <is>
          <t>2001-11-08</t>
        </is>
      </c>
      <c r="Y1042" t="inlineStr">
        <is>
          <t>2001-11-07</t>
        </is>
      </c>
      <c r="Z1042" t="inlineStr">
        <is>
          <t>2001-11-07</t>
        </is>
      </c>
      <c r="AA1042" t="n">
        <v>38</v>
      </c>
      <c r="AB1042" t="n">
        <v>33</v>
      </c>
      <c r="AC1042" t="n">
        <v>40</v>
      </c>
      <c r="AD1042" t="n">
        <v>1</v>
      </c>
      <c r="AE1042" t="n">
        <v>1</v>
      </c>
      <c r="AF1042" t="n">
        <v>1</v>
      </c>
      <c r="AG1042" t="n">
        <v>1</v>
      </c>
      <c r="AH1042" t="n">
        <v>0</v>
      </c>
      <c r="AI1042" t="n">
        <v>0</v>
      </c>
      <c r="AJ1042" t="n">
        <v>1</v>
      </c>
      <c r="AK1042" t="n">
        <v>1</v>
      </c>
      <c r="AL1042" t="n">
        <v>0</v>
      </c>
      <c r="AM1042" t="n">
        <v>0</v>
      </c>
      <c r="AN1042" t="n">
        <v>0</v>
      </c>
      <c r="AO1042" t="n">
        <v>0</v>
      </c>
      <c r="AP1042" t="n">
        <v>0</v>
      </c>
      <c r="AQ1042" t="n">
        <v>0</v>
      </c>
      <c r="AR1042" t="inlineStr">
        <is>
          <t>No</t>
        </is>
      </c>
      <c r="AS1042" t="inlineStr">
        <is>
          <t>No</t>
        </is>
      </c>
      <c r="AU1042">
        <f>HYPERLINK("https://creighton-primo.hosted.exlibrisgroup.com/primo-explore/search?tab=default_tab&amp;search_scope=EVERYTHING&amp;vid=01CRU&amp;lang=en_US&amp;offset=0&amp;query=any,contains,991003670179702656","Catalog Record")</f>
        <v/>
      </c>
      <c r="AV1042">
        <f>HYPERLINK("http://www.worldcat.org/oclc/39212483","WorldCat Record")</f>
        <v/>
      </c>
      <c r="AW1042" t="inlineStr">
        <is>
          <t>4820396769:spa</t>
        </is>
      </c>
      <c r="AX1042" t="inlineStr">
        <is>
          <t>39212483</t>
        </is>
      </c>
      <c r="AY1042" t="inlineStr">
        <is>
          <t>991003670179702656</t>
        </is>
      </c>
      <c r="AZ1042" t="inlineStr">
        <is>
          <t>991003670179702656</t>
        </is>
      </c>
      <c r="BA1042" t="inlineStr">
        <is>
          <t>2269144920002656</t>
        </is>
      </c>
      <c r="BB1042" t="inlineStr">
        <is>
          <t>BOOK</t>
        </is>
      </c>
      <c r="BE1042" t="inlineStr">
        <is>
          <t>32285004419056</t>
        </is>
      </c>
      <c r="BF1042" t="inlineStr">
        <is>
          <t>893806070</t>
        </is>
      </c>
    </row>
    <row r="1043">
      <c r="A1043" t="inlineStr">
        <is>
          <t>No</t>
        </is>
      </c>
      <c r="B1043" t="inlineStr">
        <is>
          <t>CURAL</t>
        </is>
      </c>
      <c r="C1043" t="inlineStr">
        <is>
          <t>SHELVES</t>
        </is>
      </c>
      <c r="D1043" t="inlineStr">
        <is>
          <t>PQ7539.R47 A69 1997</t>
        </is>
      </c>
      <c r="E1043" t="inlineStr">
        <is>
          <t>0                      PQ 7539000R  47                 A  69          1997</t>
        </is>
      </c>
      <c r="F1043" t="inlineStr">
        <is>
          <t>Andanzas y malandanzas / Alberto Rivas Bonilla ; presentación por Horacio Castellanos Moya.</t>
        </is>
      </c>
      <c r="H1043" t="inlineStr">
        <is>
          <t>No</t>
        </is>
      </c>
      <c r="I1043" t="inlineStr">
        <is>
          <t>1</t>
        </is>
      </c>
      <c r="J1043" t="inlineStr">
        <is>
          <t>No</t>
        </is>
      </c>
      <c r="K1043" t="inlineStr">
        <is>
          <t>No</t>
        </is>
      </c>
      <c r="L1043" t="inlineStr">
        <is>
          <t>0</t>
        </is>
      </c>
      <c r="M1043" t="inlineStr">
        <is>
          <t>Rivas Bonilla, Alberto.</t>
        </is>
      </c>
      <c r="N1043" t="inlineStr">
        <is>
          <t>San Salvador [El Salvador] : Dirección de Publicaciones e Impresos, Consejo Nacional para la Cultura y el Arte, 1997.</t>
        </is>
      </c>
      <c r="O1043" t="inlineStr">
        <is>
          <t>1997</t>
        </is>
      </c>
      <c r="P1043" t="inlineStr">
        <is>
          <t>8. ed.</t>
        </is>
      </c>
      <c r="Q1043" t="inlineStr">
        <is>
          <t>spa</t>
        </is>
      </c>
      <c r="R1043" t="inlineStr">
        <is>
          <t xml:space="preserve">es </t>
        </is>
      </c>
      <c r="S1043" t="inlineStr">
        <is>
          <t>Biblioteca básica de literatura salvadoreña ; v. 12</t>
        </is>
      </c>
      <c r="T1043" t="inlineStr">
        <is>
          <t xml:space="preserve">PQ </t>
        </is>
      </c>
      <c r="U1043" t="n">
        <v>1</v>
      </c>
      <c r="V1043" t="n">
        <v>1</v>
      </c>
      <c r="W1043" t="inlineStr">
        <is>
          <t>2001-11-08</t>
        </is>
      </c>
      <c r="X1043" t="inlineStr">
        <is>
          <t>2001-11-08</t>
        </is>
      </c>
      <c r="Y1043" t="inlineStr">
        <is>
          <t>2001-11-07</t>
        </is>
      </c>
      <c r="Z1043" t="inlineStr">
        <is>
          <t>2001-11-07</t>
        </is>
      </c>
      <c r="AA1043" t="n">
        <v>29</v>
      </c>
      <c r="AB1043" t="n">
        <v>27</v>
      </c>
      <c r="AC1043" t="n">
        <v>70</v>
      </c>
      <c r="AD1043" t="n">
        <v>1</v>
      </c>
      <c r="AE1043" t="n">
        <v>1</v>
      </c>
      <c r="AF1043" t="n">
        <v>1</v>
      </c>
      <c r="AG1043" t="n">
        <v>2</v>
      </c>
      <c r="AH1043" t="n">
        <v>0</v>
      </c>
      <c r="AI1043" t="n">
        <v>0</v>
      </c>
      <c r="AJ1043" t="n">
        <v>1</v>
      </c>
      <c r="AK1043" t="n">
        <v>1</v>
      </c>
      <c r="AL1043" t="n">
        <v>0</v>
      </c>
      <c r="AM1043" t="n">
        <v>1</v>
      </c>
      <c r="AN1043" t="n">
        <v>0</v>
      </c>
      <c r="AO1043" t="n">
        <v>0</v>
      </c>
      <c r="AP1043" t="n">
        <v>0</v>
      </c>
      <c r="AQ1043" t="n">
        <v>0</v>
      </c>
      <c r="AR1043" t="inlineStr">
        <is>
          <t>No</t>
        </is>
      </c>
      <c r="AS1043" t="inlineStr">
        <is>
          <t>Yes</t>
        </is>
      </c>
      <c r="AT1043">
        <f>HYPERLINK("http://catalog.hathitrust.org/Record/004008589","HathiTrust Record")</f>
        <v/>
      </c>
      <c r="AU1043">
        <f>HYPERLINK("https://creighton-primo.hosted.exlibrisgroup.com/primo-explore/search?tab=default_tab&amp;search_scope=EVERYTHING&amp;vid=01CRU&amp;lang=en_US&amp;offset=0&amp;query=any,contains,991003670049702656","Catalog Record")</f>
        <v/>
      </c>
      <c r="AV1043">
        <f>HYPERLINK("http://www.worldcat.org/oclc/39212592","WorldCat Record")</f>
        <v/>
      </c>
      <c r="AW1043" t="inlineStr">
        <is>
          <t>2378100:spa</t>
        </is>
      </c>
      <c r="AX1043" t="inlineStr">
        <is>
          <t>39212592</t>
        </is>
      </c>
      <c r="AY1043" t="inlineStr">
        <is>
          <t>991003670049702656</t>
        </is>
      </c>
      <c r="AZ1043" t="inlineStr">
        <is>
          <t>991003670049702656</t>
        </is>
      </c>
      <c r="BA1043" t="inlineStr">
        <is>
          <t>2269114300002656</t>
        </is>
      </c>
      <c r="BB1043" t="inlineStr">
        <is>
          <t>BOOK</t>
        </is>
      </c>
      <c r="BE1043" t="inlineStr">
        <is>
          <t>32285004418983</t>
        </is>
      </c>
      <c r="BF1043" t="inlineStr">
        <is>
          <t>893416646</t>
        </is>
      </c>
    </row>
    <row r="1044">
      <c r="A1044" t="inlineStr">
        <is>
          <t>No</t>
        </is>
      </c>
      <c r="B1044" t="inlineStr">
        <is>
          <t>CURAL</t>
        </is>
      </c>
      <c r="C1044" t="inlineStr">
        <is>
          <t>SHELVES</t>
        </is>
      </c>
      <c r="D1044" t="inlineStr">
        <is>
          <t>PQ7539.R6 B67 1997</t>
        </is>
      </c>
      <c r="E1044" t="inlineStr">
        <is>
          <t>0                      PQ 7539000R  6                  B  67          1997</t>
        </is>
      </c>
      <c r="F1044" t="inlineStr">
        <is>
          <t>El bosque de Apolo y otros poemas / Vicente Rosales y Rosales ; selección y presentación por Rolando Elías.</t>
        </is>
      </c>
      <c r="H1044" t="inlineStr">
        <is>
          <t>No</t>
        </is>
      </c>
      <c r="I1044" t="inlineStr">
        <is>
          <t>1</t>
        </is>
      </c>
      <c r="J1044" t="inlineStr">
        <is>
          <t>No</t>
        </is>
      </c>
      <c r="K1044" t="inlineStr">
        <is>
          <t>No</t>
        </is>
      </c>
      <c r="L1044" t="inlineStr">
        <is>
          <t>0</t>
        </is>
      </c>
      <c r="M1044" t="inlineStr">
        <is>
          <t>Rosales y Rosales, Vicente, 1894-1980.</t>
        </is>
      </c>
      <c r="N1044" t="inlineStr">
        <is>
          <t>San Salvador : Dirección de Publicaciones e Impresos, Consejo Nacional para la Cultura y el Arte, 1997.</t>
        </is>
      </c>
      <c r="O1044" t="inlineStr">
        <is>
          <t>1997</t>
        </is>
      </c>
      <c r="P1044" t="inlineStr">
        <is>
          <t>1. ed.</t>
        </is>
      </c>
      <c r="Q1044" t="inlineStr">
        <is>
          <t>spa</t>
        </is>
      </c>
      <c r="R1044" t="inlineStr">
        <is>
          <t xml:space="preserve">es </t>
        </is>
      </c>
      <c r="S1044" t="inlineStr">
        <is>
          <t>Biblioteca básica de literatura salvadoreña ; v. 16</t>
        </is>
      </c>
      <c r="T1044" t="inlineStr">
        <is>
          <t xml:space="preserve">PQ </t>
        </is>
      </c>
      <c r="U1044" t="n">
        <v>1</v>
      </c>
      <c r="V1044" t="n">
        <v>1</v>
      </c>
      <c r="W1044" t="inlineStr">
        <is>
          <t>2001-11-08</t>
        </is>
      </c>
      <c r="X1044" t="inlineStr">
        <is>
          <t>2001-11-08</t>
        </is>
      </c>
      <c r="Y1044" t="inlineStr">
        <is>
          <t>2001-11-07</t>
        </is>
      </c>
      <c r="Z1044" t="inlineStr">
        <is>
          <t>2001-11-07</t>
        </is>
      </c>
      <c r="AA1044" t="n">
        <v>35</v>
      </c>
      <c r="AB1044" t="n">
        <v>32</v>
      </c>
      <c r="AC1044" t="n">
        <v>34</v>
      </c>
      <c r="AD1044" t="n">
        <v>1</v>
      </c>
      <c r="AE1044" t="n">
        <v>1</v>
      </c>
      <c r="AF1044" t="n">
        <v>1</v>
      </c>
      <c r="AG1044" t="n">
        <v>1</v>
      </c>
      <c r="AH1044" t="n">
        <v>0</v>
      </c>
      <c r="AI1044" t="n">
        <v>0</v>
      </c>
      <c r="AJ1044" t="n">
        <v>1</v>
      </c>
      <c r="AK1044" t="n">
        <v>1</v>
      </c>
      <c r="AL1044" t="n">
        <v>0</v>
      </c>
      <c r="AM1044" t="n">
        <v>0</v>
      </c>
      <c r="AN1044" t="n">
        <v>0</v>
      </c>
      <c r="AO1044" t="n">
        <v>0</v>
      </c>
      <c r="AP1044" t="n">
        <v>0</v>
      </c>
      <c r="AQ1044" t="n">
        <v>0</v>
      </c>
      <c r="AR1044" t="inlineStr">
        <is>
          <t>No</t>
        </is>
      </c>
      <c r="AS1044" t="inlineStr">
        <is>
          <t>Yes</t>
        </is>
      </c>
      <c r="AT1044">
        <f>HYPERLINK("http://catalog.hathitrust.org/Record/004008590","HathiTrust Record")</f>
        <v/>
      </c>
      <c r="AU1044">
        <f>HYPERLINK("https://creighton-primo.hosted.exlibrisgroup.com/primo-explore/search?tab=default_tab&amp;search_scope=EVERYTHING&amp;vid=01CRU&amp;lang=en_US&amp;offset=0&amp;query=any,contains,991003670249702656","Catalog Record")</f>
        <v/>
      </c>
      <c r="AV1044">
        <f>HYPERLINK("http://www.worldcat.org/oclc/39212324","WorldCat Record")</f>
        <v/>
      </c>
      <c r="AW1044" t="inlineStr">
        <is>
          <t>365598315:spa</t>
        </is>
      </c>
      <c r="AX1044" t="inlineStr">
        <is>
          <t>39212324</t>
        </is>
      </c>
      <c r="AY1044" t="inlineStr">
        <is>
          <t>991003670249702656</t>
        </is>
      </c>
      <c r="AZ1044" t="inlineStr">
        <is>
          <t>991003670249702656</t>
        </is>
      </c>
      <c r="BA1044" t="inlineStr">
        <is>
          <t>2269072260002656</t>
        </is>
      </c>
      <c r="BB1044" t="inlineStr">
        <is>
          <t>BOOK</t>
        </is>
      </c>
      <c r="BE1044" t="inlineStr">
        <is>
          <t>32285004419031</t>
        </is>
      </c>
      <c r="BF1044" t="inlineStr">
        <is>
          <t>893893976</t>
        </is>
      </c>
    </row>
    <row r="1045">
      <c r="A1045" t="inlineStr">
        <is>
          <t>No</t>
        </is>
      </c>
      <c r="B1045" t="inlineStr">
        <is>
          <t>CURAL</t>
        </is>
      </c>
      <c r="C1045" t="inlineStr">
        <is>
          <t>SHELVES</t>
        </is>
      </c>
      <c r="D1045" t="inlineStr">
        <is>
          <t>PQ7539.S3 A83 1977</t>
        </is>
      </c>
      <c r="E1045" t="inlineStr">
        <is>
          <t>0                      PQ 7539000S  3                  A  83          1977</t>
        </is>
      </c>
      <c r="F1045" t="inlineStr">
        <is>
          <t>El angel del espejo y otros relatos / Salarrué ; prólogo, selección y cronología, Sergio Ramírez.</t>
        </is>
      </c>
      <c r="H1045" t="inlineStr">
        <is>
          <t>No</t>
        </is>
      </c>
      <c r="I1045" t="inlineStr">
        <is>
          <t>1</t>
        </is>
      </c>
      <c r="J1045" t="inlineStr">
        <is>
          <t>No</t>
        </is>
      </c>
      <c r="K1045" t="inlineStr">
        <is>
          <t>No</t>
        </is>
      </c>
      <c r="L1045" t="inlineStr">
        <is>
          <t>0</t>
        </is>
      </c>
      <c r="M1045" t="inlineStr">
        <is>
          <t>Salarrué, 1899-1975.</t>
        </is>
      </c>
      <c r="N1045" t="inlineStr">
        <is>
          <t>[Caracas] : Biblioteca Ayacucho, [1977]</t>
        </is>
      </c>
      <c r="O1045" t="inlineStr">
        <is>
          <t>1977</t>
        </is>
      </c>
      <c r="Q1045" t="inlineStr">
        <is>
          <t>spa</t>
        </is>
      </c>
      <c r="R1045" t="inlineStr">
        <is>
          <t xml:space="preserve">ve </t>
        </is>
      </c>
      <c r="S1045" t="inlineStr">
        <is>
          <t>Biblioteca Ayacucho ; 16</t>
        </is>
      </c>
      <c r="T1045" t="inlineStr">
        <is>
          <t xml:space="preserve">PQ </t>
        </is>
      </c>
      <c r="U1045" t="n">
        <v>1</v>
      </c>
      <c r="V1045" t="n">
        <v>1</v>
      </c>
      <c r="W1045" t="inlineStr">
        <is>
          <t>2001-11-19</t>
        </is>
      </c>
      <c r="X1045" t="inlineStr">
        <is>
          <t>2001-11-19</t>
        </is>
      </c>
      <c r="Y1045" t="inlineStr">
        <is>
          <t>2001-11-19</t>
        </is>
      </c>
      <c r="Z1045" t="inlineStr">
        <is>
          <t>2001-11-19</t>
        </is>
      </c>
      <c r="AA1045" t="n">
        <v>140</v>
      </c>
      <c r="AB1045" t="n">
        <v>106</v>
      </c>
      <c r="AC1045" t="n">
        <v>137</v>
      </c>
      <c r="AD1045" t="n">
        <v>1</v>
      </c>
      <c r="AE1045" t="n">
        <v>2</v>
      </c>
      <c r="AF1045" t="n">
        <v>4</v>
      </c>
      <c r="AG1045" t="n">
        <v>7</v>
      </c>
      <c r="AH1045" t="n">
        <v>0</v>
      </c>
      <c r="AI1045" t="n">
        <v>0</v>
      </c>
      <c r="AJ1045" t="n">
        <v>4</v>
      </c>
      <c r="AK1045" t="n">
        <v>5</v>
      </c>
      <c r="AL1045" t="n">
        <v>1</v>
      </c>
      <c r="AM1045" t="n">
        <v>3</v>
      </c>
      <c r="AN1045" t="n">
        <v>0</v>
      </c>
      <c r="AO1045" t="n">
        <v>1</v>
      </c>
      <c r="AP1045" t="n">
        <v>0</v>
      </c>
      <c r="AQ1045" t="n">
        <v>0</v>
      </c>
      <c r="AR1045" t="inlineStr">
        <is>
          <t>No</t>
        </is>
      </c>
      <c r="AS1045" t="inlineStr">
        <is>
          <t>Yes</t>
        </is>
      </c>
      <c r="AT1045">
        <f>HYPERLINK("http://catalog.hathitrust.org/Record/000877034","HathiTrust Record")</f>
        <v/>
      </c>
      <c r="AU1045">
        <f>HYPERLINK("https://creighton-primo.hosted.exlibrisgroup.com/primo-explore/search?tab=default_tab&amp;search_scope=EVERYTHING&amp;vid=01CRU&amp;lang=en_US&amp;offset=0&amp;query=any,contains,991003682999702656","Catalog Record")</f>
        <v/>
      </c>
      <c r="AV1045">
        <f>HYPERLINK("http://www.worldcat.org/oclc/3888228","WorldCat Record")</f>
        <v/>
      </c>
      <c r="AW1045" t="inlineStr">
        <is>
          <t>351580232:spa</t>
        </is>
      </c>
      <c r="AX1045" t="inlineStr">
        <is>
          <t>3888228</t>
        </is>
      </c>
      <c r="AY1045" t="inlineStr">
        <is>
          <t>991003682999702656</t>
        </is>
      </c>
      <c r="AZ1045" t="inlineStr">
        <is>
          <t>991003682999702656</t>
        </is>
      </c>
      <c r="BA1045" t="inlineStr">
        <is>
          <t>2257741690002656</t>
        </is>
      </c>
      <c r="BB1045" t="inlineStr">
        <is>
          <t>BOOK</t>
        </is>
      </c>
      <c r="BE1045" t="inlineStr">
        <is>
          <t>32285004412663</t>
        </is>
      </c>
      <c r="BF1045" t="inlineStr">
        <is>
          <t>893525098</t>
        </is>
      </c>
    </row>
    <row r="1046">
      <c r="A1046" t="inlineStr">
        <is>
          <t>No</t>
        </is>
      </c>
      <c r="B1046" t="inlineStr">
        <is>
          <t>CURAL</t>
        </is>
      </c>
      <c r="C1046" t="inlineStr">
        <is>
          <t>SHELVES</t>
        </is>
      </c>
      <c r="D1046" t="inlineStr">
        <is>
          <t>PQ7552.N7 L3 1982</t>
        </is>
      </c>
      <c r="E1046" t="inlineStr">
        <is>
          <t>0                      PQ 7552000N  7                  L  3           1982</t>
        </is>
      </c>
      <c r="F1046" t="inlineStr">
        <is>
          <t>La novela andina : pasado y futuro / Raimundo Lazo.</t>
        </is>
      </c>
      <c r="H1046" t="inlineStr">
        <is>
          <t>No</t>
        </is>
      </c>
      <c r="I1046" t="inlineStr">
        <is>
          <t>1</t>
        </is>
      </c>
      <c r="J1046" t="inlineStr">
        <is>
          <t>No</t>
        </is>
      </c>
      <c r="K1046" t="inlineStr">
        <is>
          <t>No</t>
        </is>
      </c>
      <c r="L1046" t="inlineStr">
        <is>
          <t>0</t>
        </is>
      </c>
      <c r="M1046" t="inlineStr">
        <is>
          <t>Lazo, Raimundo, 1904-1976.</t>
        </is>
      </c>
      <c r="N1046" t="inlineStr">
        <is>
          <t>México : Porrúa, 1982.</t>
        </is>
      </c>
      <c r="O1046" t="inlineStr">
        <is>
          <t>1982</t>
        </is>
      </c>
      <c r="P1046" t="inlineStr">
        <is>
          <t>3a. ed.</t>
        </is>
      </c>
      <c r="Q1046" t="inlineStr">
        <is>
          <t>spa</t>
        </is>
      </c>
      <c r="R1046" t="inlineStr">
        <is>
          <t xml:space="preserve">mx </t>
        </is>
      </c>
      <c r="S1046" t="inlineStr">
        <is>
          <t>"Sepan cuantos--" ; no. 179</t>
        </is>
      </c>
      <c r="T1046" t="inlineStr">
        <is>
          <t xml:space="preserve">PQ </t>
        </is>
      </c>
      <c r="U1046" t="n">
        <v>2</v>
      </c>
      <c r="V1046" t="n">
        <v>2</v>
      </c>
      <c r="W1046" t="inlineStr">
        <is>
          <t>1995-08-21</t>
        </is>
      </c>
      <c r="X1046" t="inlineStr">
        <is>
          <t>1995-08-21</t>
        </is>
      </c>
      <c r="Y1046" t="inlineStr">
        <is>
          <t>1995-08-17</t>
        </is>
      </c>
      <c r="Z1046" t="inlineStr">
        <is>
          <t>1995-08-17</t>
        </is>
      </c>
      <c r="AA1046" t="n">
        <v>34</v>
      </c>
      <c r="AB1046" t="n">
        <v>28</v>
      </c>
      <c r="AC1046" t="n">
        <v>219</v>
      </c>
      <c r="AD1046" t="n">
        <v>1</v>
      </c>
      <c r="AE1046" t="n">
        <v>2</v>
      </c>
      <c r="AF1046" t="n">
        <v>1</v>
      </c>
      <c r="AG1046" t="n">
        <v>10</v>
      </c>
      <c r="AH1046" t="n">
        <v>0</v>
      </c>
      <c r="AI1046" t="n">
        <v>1</v>
      </c>
      <c r="AJ1046" t="n">
        <v>1</v>
      </c>
      <c r="AK1046" t="n">
        <v>4</v>
      </c>
      <c r="AL1046" t="n">
        <v>0</v>
      </c>
      <c r="AM1046" t="n">
        <v>6</v>
      </c>
      <c r="AN1046" t="n">
        <v>0</v>
      </c>
      <c r="AO1046" t="n">
        <v>1</v>
      </c>
      <c r="AP1046" t="n">
        <v>0</v>
      </c>
      <c r="AQ1046" t="n">
        <v>0</v>
      </c>
      <c r="AR1046" t="inlineStr">
        <is>
          <t>No</t>
        </is>
      </c>
      <c r="AS1046" t="inlineStr">
        <is>
          <t>Yes</t>
        </is>
      </c>
      <c r="AT1046">
        <f>HYPERLINK("http://catalog.hathitrust.org/Record/009497333","HathiTrust Record")</f>
        <v/>
      </c>
      <c r="AU1046">
        <f>HYPERLINK("https://creighton-primo.hosted.exlibrisgroup.com/primo-explore/search?tab=default_tab&amp;search_scope=EVERYTHING&amp;vid=01CRU&amp;lang=en_US&amp;offset=0&amp;query=any,contains,991000406269702656","Catalog Record")</f>
        <v/>
      </c>
      <c r="AV1046">
        <f>HYPERLINK("http://www.worldcat.org/oclc/10687534","WorldCat Record")</f>
        <v/>
      </c>
      <c r="AW1046" t="inlineStr">
        <is>
          <t>5342521773:spa</t>
        </is>
      </c>
      <c r="AX1046" t="inlineStr">
        <is>
          <t>10687534</t>
        </is>
      </c>
      <c r="AY1046" t="inlineStr">
        <is>
          <t>991000406269702656</t>
        </is>
      </c>
      <c r="AZ1046" t="inlineStr">
        <is>
          <t>991000406269702656</t>
        </is>
      </c>
      <c r="BA1046" t="inlineStr">
        <is>
          <t>2267946740002656</t>
        </is>
      </c>
      <c r="BB1046" t="inlineStr">
        <is>
          <t>BOOK</t>
        </is>
      </c>
      <c r="BD1046" t="inlineStr">
        <is>
          <t>9789684327474</t>
        </is>
      </c>
      <c r="BE1046" t="inlineStr">
        <is>
          <t>32285002080298</t>
        </is>
      </c>
      <c r="BF1046" t="inlineStr">
        <is>
          <t>893708336</t>
        </is>
      </c>
    </row>
    <row r="1047">
      <c r="A1047" t="inlineStr">
        <is>
          <t>No</t>
        </is>
      </c>
      <c r="B1047" t="inlineStr">
        <is>
          <t>CURAL</t>
        </is>
      </c>
      <c r="C1047" t="inlineStr">
        <is>
          <t>SHELVES</t>
        </is>
      </c>
      <c r="D1047" t="inlineStr">
        <is>
          <t>PQ7606 .O7 1970</t>
        </is>
      </c>
      <c r="E1047" t="inlineStr">
        <is>
          <t>0                      PQ 7606000O  7           1970</t>
        </is>
      </c>
      <c r="F1047" t="inlineStr">
        <is>
          <t>Enciclopedia de la literatura argentina / Dirigida por Pedro Orgambide y Roberto Yahni.</t>
        </is>
      </c>
      <c r="H1047" t="inlineStr">
        <is>
          <t>No</t>
        </is>
      </c>
      <c r="I1047" t="inlineStr">
        <is>
          <t>1</t>
        </is>
      </c>
      <c r="J1047" t="inlineStr">
        <is>
          <t>No</t>
        </is>
      </c>
      <c r="K1047" t="inlineStr">
        <is>
          <t>No</t>
        </is>
      </c>
      <c r="L1047" t="inlineStr">
        <is>
          <t>0</t>
        </is>
      </c>
      <c r="M1047" t="inlineStr">
        <is>
          <t>Orgambide, Pedro G.</t>
        </is>
      </c>
      <c r="N1047" t="inlineStr">
        <is>
          <t>Buenos Aires : Editorial Sudamericana, [1970]</t>
        </is>
      </c>
      <c r="O1047" t="inlineStr">
        <is>
          <t>1970</t>
        </is>
      </c>
      <c r="Q1047" t="inlineStr">
        <is>
          <t>spa</t>
        </is>
      </c>
      <c r="R1047" t="inlineStr">
        <is>
          <t xml:space="preserve">ag </t>
        </is>
      </c>
      <c r="T1047" t="inlineStr">
        <is>
          <t xml:space="preserve">PQ </t>
        </is>
      </c>
      <c r="U1047" t="n">
        <v>1</v>
      </c>
      <c r="V1047" t="n">
        <v>1</v>
      </c>
      <c r="W1047" t="inlineStr">
        <is>
          <t>2005-03-23</t>
        </is>
      </c>
      <c r="X1047" t="inlineStr">
        <is>
          <t>2005-03-23</t>
        </is>
      </c>
      <c r="Y1047" t="inlineStr">
        <is>
          <t>2005-03-23</t>
        </is>
      </c>
      <c r="Z1047" t="inlineStr">
        <is>
          <t>2005-03-23</t>
        </is>
      </c>
      <c r="AA1047" t="n">
        <v>205</v>
      </c>
      <c r="AB1047" t="n">
        <v>151</v>
      </c>
      <c r="AC1047" t="n">
        <v>153</v>
      </c>
      <c r="AD1047" t="n">
        <v>2</v>
      </c>
      <c r="AE1047" t="n">
        <v>2</v>
      </c>
      <c r="AF1047" t="n">
        <v>4</v>
      </c>
      <c r="AG1047" t="n">
        <v>4</v>
      </c>
      <c r="AH1047" t="n">
        <v>0</v>
      </c>
      <c r="AI1047" t="n">
        <v>0</v>
      </c>
      <c r="AJ1047" t="n">
        <v>2</v>
      </c>
      <c r="AK1047" t="n">
        <v>2</v>
      </c>
      <c r="AL1047" t="n">
        <v>2</v>
      </c>
      <c r="AM1047" t="n">
        <v>2</v>
      </c>
      <c r="AN1047" t="n">
        <v>1</v>
      </c>
      <c r="AO1047" t="n">
        <v>1</v>
      </c>
      <c r="AP1047" t="n">
        <v>0</v>
      </c>
      <c r="AQ1047" t="n">
        <v>0</v>
      </c>
      <c r="AR1047" t="inlineStr">
        <is>
          <t>No</t>
        </is>
      </c>
      <c r="AS1047" t="inlineStr">
        <is>
          <t>No</t>
        </is>
      </c>
      <c r="AU1047">
        <f>HYPERLINK("https://creighton-primo.hosted.exlibrisgroup.com/primo-explore/search?tab=default_tab&amp;search_scope=EVERYTHING&amp;vid=01CRU&amp;lang=en_US&amp;offset=0&amp;query=any,contains,991004509619702656","Catalog Record")</f>
        <v/>
      </c>
      <c r="AV1047">
        <f>HYPERLINK("http://www.worldcat.org/oclc/704509","WorldCat Record")</f>
        <v/>
      </c>
      <c r="AW1047" t="inlineStr">
        <is>
          <t>347122288:spa</t>
        </is>
      </c>
      <c r="AX1047" t="inlineStr">
        <is>
          <t>704509</t>
        </is>
      </c>
      <c r="AY1047" t="inlineStr">
        <is>
          <t>991004509619702656</t>
        </is>
      </c>
      <c r="AZ1047" t="inlineStr">
        <is>
          <t>991004509619702656</t>
        </is>
      </c>
      <c r="BA1047" t="inlineStr">
        <is>
          <t>2259114250002656</t>
        </is>
      </c>
      <c r="BB1047" t="inlineStr">
        <is>
          <t>BOOK</t>
        </is>
      </c>
      <c r="BE1047" t="inlineStr">
        <is>
          <t>32285005044390</t>
        </is>
      </c>
      <c r="BF1047" t="inlineStr">
        <is>
          <t>893776102</t>
        </is>
      </c>
    </row>
    <row r="1048">
      <c r="A1048" t="inlineStr">
        <is>
          <t>No</t>
        </is>
      </c>
      <c r="B1048" t="inlineStr">
        <is>
          <t>CURAL</t>
        </is>
      </c>
      <c r="C1048" t="inlineStr">
        <is>
          <t>SHELVES</t>
        </is>
      </c>
      <c r="D1048" t="inlineStr">
        <is>
          <t>PQ7683 .O733 1992</t>
        </is>
      </c>
      <c r="E1048" t="inlineStr">
        <is>
          <t>0                      PQ 7683000O  733         1992</t>
        </is>
      </c>
      <c r="F1048" t="inlineStr">
        <is>
          <t>Aproximación a la trayectoria de la dramática argentina : desde los orígenes nacionales hasta la actualidad / Luis Ordaz.</t>
        </is>
      </c>
      <c r="H1048" t="inlineStr">
        <is>
          <t>No</t>
        </is>
      </c>
      <c r="I1048" t="inlineStr">
        <is>
          <t>1</t>
        </is>
      </c>
      <c r="J1048" t="inlineStr">
        <is>
          <t>No</t>
        </is>
      </c>
      <c r="K1048" t="inlineStr">
        <is>
          <t>No</t>
        </is>
      </c>
      <c r="L1048" t="inlineStr">
        <is>
          <t>0</t>
        </is>
      </c>
      <c r="M1048" t="inlineStr">
        <is>
          <t>Ordaz, Luis, 1912-2004.</t>
        </is>
      </c>
      <c r="N1048" t="inlineStr">
        <is>
          <t>Ottawa, Ont. : Girol Books, 1992.</t>
        </is>
      </c>
      <c r="O1048" t="inlineStr">
        <is>
          <t>1992</t>
        </is>
      </c>
      <c r="P1048" t="inlineStr">
        <is>
          <t>1. ed.</t>
        </is>
      </c>
      <c r="Q1048" t="inlineStr">
        <is>
          <t>spa</t>
        </is>
      </c>
      <c r="R1048" t="inlineStr">
        <is>
          <t>onc</t>
        </is>
      </c>
      <c r="S1048" t="inlineStr">
        <is>
          <t>Colección Telón. Historia ; 2</t>
        </is>
      </c>
      <c r="T1048" t="inlineStr">
        <is>
          <t xml:space="preserve">PQ </t>
        </is>
      </c>
      <c r="U1048" t="n">
        <v>1</v>
      </c>
      <c r="V1048" t="n">
        <v>1</v>
      </c>
      <c r="W1048" t="inlineStr">
        <is>
          <t>2004-03-30</t>
        </is>
      </c>
      <c r="X1048" t="inlineStr">
        <is>
          <t>2004-03-30</t>
        </is>
      </c>
      <c r="Y1048" t="inlineStr">
        <is>
          <t>2004-03-30</t>
        </is>
      </c>
      <c r="Z1048" t="inlineStr">
        <is>
          <t>2004-03-30</t>
        </is>
      </c>
      <c r="AA1048" t="n">
        <v>60</v>
      </c>
      <c r="AB1048" t="n">
        <v>48</v>
      </c>
      <c r="AC1048" t="n">
        <v>49</v>
      </c>
      <c r="AD1048" t="n">
        <v>1</v>
      </c>
      <c r="AE1048" t="n">
        <v>1</v>
      </c>
      <c r="AF1048" t="n">
        <v>2</v>
      </c>
      <c r="AG1048" t="n">
        <v>2</v>
      </c>
      <c r="AH1048" t="n">
        <v>0</v>
      </c>
      <c r="AI1048" t="n">
        <v>0</v>
      </c>
      <c r="AJ1048" t="n">
        <v>1</v>
      </c>
      <c r="AK1048" t="n">
        <v>1</v>
      </c>
      <c r="AL1048" t="n">
        <v>1</v>
      </c>
      <c r="AM1048" t="n">
        <v>1</v>
      </c>
      <c r="AN1048" t="n">
        <v>0</v>
      </c>
      <c r="AO1048" t="n">
        <v>0</v>
      </c>
      <c r="AP1048" t="n">
        <v>0</v>
      </c>
      <c r="AQ1048" t="n">
        <v>0</v>
      </c>
      <c r="AR1048" t="inlineStr">
        <is>
          <t>No</t>
        </is>
      </c>
      <c r="AS1048" t="inlineStr">
        <is>
          <t>Yes</t>
        </is>
      </c>
      <c r="AT1048">
        <f>HYPERLINK("http://catalog.hathitrust.org/Record/007564049","HathiTrust Record")</f>
        <v/>
      </c>
      <c r="AU1048">
        <f>HYPERLINK("https://creighton-primo.hosted.exlibrisgroup.com/primo-explore/search?tab=default_tab&amp;search_scope=EVERYTHING&amp;vid=01CRU&amp;lang=en_US&amp;offset=0&amp;query=any,contains,991004264449702656","Catalog Record")</f>
        <v/>
      </c>
      <c r="AV1048">
        <f>HYPERLINK("http://www.worldcat.org/oclc/28372540","WorldCat Record")</f>
        <v/>
      </c>
      <c r="AW1048" t="inlineStr">
        <is>
          <t>139179349:spa</t>
        </is>
      </c>
      <c r="AX1048" t="inlineStr">
        <is>
          <t>28372540</t>
        </is>
      </c>
      <c r="AY1048" t="inlineStr">
        <is>
          <t>991004264449702656</t>
        </is>
      </c>
      <c r="AZ1048" t="inlineStr">
        <is>
          <t>991004264449702656</t>
        </is>
      </c>
      <c r="BA1048" t="inlineStr">
        <is>
          <t>2258046360002656</t>
        </is>
      </c>
      <c r="BB1048" t="inlineStr">
        <is>
          <t>BOOK</t>
        </is>
      </c>
      <c r="BD1048" t="inlineStr">
        <is>
          <t>9780919659254</t>
        </is>
      </c>
      <c r="BE1048" t="inlineStr">
        <is>
          <t>32285004898275</t>
        </is>
      </c>
      <c r="BF1048" t="inlineStr">
        <is>
          <t>893349799</t>
        </is>
      </c>
    </row>
    <row r="1049">
      <c r="A1049" t="inlineStr">
        <is>
          <t>No</t>
        </is>
      </c>
      <c r="B1049" t="inlineStr">
        <is>
          <t>CURAL</t>
        </is>
      </c>
      <c r="C1049" t="inlineStr">
        <is>
          <t>SHELVES</t>
        </is>
      </c>
      <c r="D1049" t="inlineStr">
        <is>
          <t>PQ7689 .F67 1986</t>
        </is>
      </c>
      <c r="E1049" t="inlineStr">
        <is>
          <t>0                      PQ 7689000F  67          1986</t>
        </is>
      </c>
      <c r="F1049" t="inlineStr">
        <is>
          <t>The Argentine Teatro Independiente, 1930-1955 / by David William Foster.</t>
        </is>
      </c>
      <c r="H1049" t="inlineStr">
        <is>
          <t>No</t>
        </is>
      </c>
      <c r="I1049" t="inlineStr">
        <is>
          <t>1</t>
        </is>
      </c>
      <c r="J1049" t="inlineStr">
        <is>
          <t>No</t>
        </is>
      </c>
      <c r="K1049" t="inlineStr">
        <is>
          <t>No</t>
        </is>
      </c>
      <c r="L1049" t="inlineStr">
        <is>
          <t>0</t>
        </is>
      </c>
      <c r="M1049" t="inlineStr">
        <is>
          <t>Foster, David William.</t>
        </is>
      </c>
      <c r="N1049" t="inlineStr">
        <is>
          <t>York, S.C. : Spanish Literature Pub Co., 1986.</t>
        </is>
      </c>
      <c r="O1049" t="inlineStr">
        <is>
          <t>1986</t>
        </is>
      </c>
      <c r="Q1049" t="inlineStr">
        <is>
          <t>eng</t>
        </is>
      </c>
      <c r="R1049" t="inlineStr">
        <is>
          <t>scu</t>
        </is>
      </c>
      <c r="T1049" t="inlineStr">
        <is>
          <t xml:space="preserve">PQ </t>
        </is>
      </c>
      <c r="U1049" t="n">
        <v>1</v>
      </c>
      <c r="V1049" t="n">
        <v>1</v>
      </c>
      <c r="W1049" t="inlineStr">
        <is>
          <t>2003-04-16</t>
        </is>
      </c>
      <c r="X1049" t="inlineStr">
        <is>
          <t>2003-04-16</t>
        </is>
      </c>
      <c r="Y1049" t="inlineStr">
        <is>
          <t>2003-04-16</t>
        </is>
      </c>
      <c r="Z1049" t="inlineStr">
        <is>
          <t>2003-04-16</t>
        </is>
      </c>
      <c r="AA1049" t="n">
        <v>163</v>
      </c>
      <c r="AB1049" t="n">
        <v>129</v>
      </c>
      <c r="AC1049" t="n">
        <v>131</v>
      </c>
      <c r="AD1049" t="n">
        <v>1</v>
      </c>
      <c r="AE1049" t="n">
        <v>1</v>
      </c>
      <c r="AF1049" t="n">
        <v>5</v>
      </c>
      <c r="AG1049" t="n">
        <v>5</v>
      </c>
      <c r="AH1049" t="n">
        <v>1</v>
      </c>
      <c r="AI1049" t="n">
        <v>1</v>
      </c>
      <c r="AJ1049" t="n">
        <v>2</v>
      </c>
      <c r="AK1049" t="n">
        <v>2</v>
      </c>
      <c r="AL1049" t="n">
        <v>3</v>
      </c>
      <c r="AM1049" t="n">
        <v>3</v>
      </c>
      <c r="AN1049" t="n">
        <v>0</v>
      </c>
      <c r="AO1049" t="n">
        <v>0</v>
      </c>
      <c r="AP1049" t="n">
        <v>0</v>
      </c>
      <c r="AQ1049" t="n">
        <v>0</v>
      </c>
      <c r="AR1049" t="inlineStr">
        <is>
          <t>No</t>
        </is>
      </c>
      <c r="AS1049" t="inlineStr">
        <is>
          <t>Yes</t>
        </is>
      </c>
      <c r="AT1049">
        <f>HYPERLINK("http://catalog.hathitrust.org/Record/003084162","HathiTrust Record")</f>
        <v/>
      </c>
      <c r="AU1049">
        <f>HYPERLINK("https://creighton-primo.hosted.exlibrisgroup.com/primo-explore/search?tab=default_tab&amp;search_scope=EVERYTHING&amp;vid=01CRU&amp;lang=en_US&amp;offset=0&amp;query=any,contains,991004027739702656","Catalog Record")</f>
        <v/>
      </c>
      <c r="AV1049">
        <f>HYPERLINK("http://www.worldcat.org/oclc/13832097","WorldCat Record")</f>
        <v/>
      </c>
      <c r="AW1049" t="inlineStr">
        <is>
          <t>7573513:eng</t>
        </is>
      </c>
      <c r="AX1049" t="inlineStr">
        <is>
          <t>13832097</t>
        </is>
      </c>
      <c r="AY1049" t="inlineStr">
        <is>
          <t>991004027739702656</t>
        </is>
      </c>
      <c r="AZ1049" t="inlineStr">
        <is>
          <t>991004027739702656</t>
        </is>
      </c>
      <c r="BA1049" t="inlineStr">
        <is>
          <t>2266414830002656</t>
        </is>
      </c>
      <c r="BB1049" t="inlineStr">
        <is>
          <t>BOOK</t>
        </is>
      </c>
      <c r="BD1049" t="inlineStr">
        <is>
          <t>9780938972082</t>
        </is>
      </c>
      <c r="BE1049" t="inlineStr">
        <is>
          <t>32285004742861</t>
        </is>
      </c>
      <c r="BF1049" t="inlineStr">
        <is>
          <t>893343371</t>
        </is>
      </c>
    </row>
    <row r="1050">
      <c r="A1050" t="inlineStr">
        <is>
          <t>No</t>
        </is>
      </c>
      <c r="B1050" t="inlineStr">
        <is>
          <t>CURAL</t>
        </is>
      </c>
      <c r="C1050" t="inlineStr">
        <is>
          <t>SHELVES</t>
        </is>
      </c>
      <c r="D1050" t="inlineStr">
        <is>
          <t>PQ771 .E44 1987</t>
        </is>
      </c>
      <c r="E1050" t="inlineStr">
        <is>
          <t>0                      PQ 0771000E  44          1987</t>
        </is>
      </c>
      <c r="F1050" t="inlineStr">
        <is>
          <t>The changing nature of the self : a critical study of the autobiographic discourse / Robert Elbaz.</t>
        </is>
      </c>
      <c r="H1050" t="inlineStr">
        <is>
          <t>No</t>
        </is>
      </c>
      <c r="I1050" t="inlineStr">
        <is>
          <t>1</t>
        </is>
      </c>
      <c r="J1050" t="inlineStr">
        <is>
          <t>No</t>
        </is>
      </c>
      <c r="K1050" t="inlineStr">
        <is>
          <t>No</t>
        </is>
      </c>
      <c r="L1050" t="inlineStr">
        <is>
          <t>0</t>
        </is>
      </c>
      <c r="M1050" t="inlineStr">
        <is>
          <t>Elbaz, Robert.</t>
        </is>
      </c>
      <c r="N1050" t="inlineStr">
        <is>
          <t>Iowa City : University of Iowa Press, 1987.</t>
        </is>
      </c>
      <c r="O1050" t="inlineStr">
        <is>
          <t>1987</t>
        </is>
      </c>
      <c r="P1050" t="inlineStr">
        <is>
          <t>1st ed.</t>
        </is>
      </c>
      <c r="Q1050" t="inlineStr">
        <is>
          <t>eng</t>
        </is>
      </c>
      <c r="R1050" t="inlineStr">
        <is>
          <t>iau</t>
        </is>
      </c>
      <c r="T1050" t="inlineStr">
        <is>
          <t xml:space="preserve">PQ </t>
        </is>
      </c>
      <c r="U1050" t="n">
        <v>1</v>
      </c>
      <c r="V1050" t="n">
        <v>1</v>
      </c>
      <c r="W1050" t="inlineStr">
        <is>
          <t>2005-05-04</t>
        </is>
      </c>
      <c r="X1050" t="inlineStr">
        <is>
          <t>2005-05-04</t>
        </is>
      </c>
      <c r="Y1050" t="inlineStr">
        <is>
          <t>2005-05-04</t>
        </is>
      </c>
      <c r="Z1050" t="inlineStr">
        <is>
          <t>2005-05-04</t>
        </is>
      </c>
      <c r="AA1050" t="n">
        <v>333</v>
      </c>
      <c r="AB1050" t="n">
        <v>292</v>
      </c>
      <c r="AC1050" t="n">
        <v>352</v>
      </c>
      <c r="AD1050" t="n">
        <v>3</v>
      </c>
      <c r="AE1050" t="n">
        <v>4</v>
      </c>
      <c r="AF1050" t="n">
        <v>16</v>
      </c>
      <c r="AG1050" t="n">
        <v>19</v>
      </c>
      <c r="AH1050" t="n">
        <v>7</v>
      </c>
      <c r="AI1050" t="n">
        <v>7</v>
      </c>
      <c r="AJ1050" t="n">
        <v>3</v>
      </c>
      <c r="AK1050" t="n">
        <v>4</v>
      </c>
      <c r="AL1050" t="n">
        <v>10</v>
      </c>
      <c r="AM1050" t="n">
        <v>12</v>
      </c>
      <c r="AN1050" t="n">
        <v>2</v>
      </c>
      <c r="AO1050" t="n">
        <v>3</v>
      </c>
      <c r="AP1050" t="n">
        <v>0</v>
      </c>
      <c r="AQ1050" t="n">
        <v>0</v>
      </c>
      <c r="AR1050" t="inlineStr">
        <is>
          <t>No</t>
        </is>
      </c>
      <c r="AS1050" t="inlineStr">
        <is>
          <t>Yes</t>
        </is>
      </c>
      <c r="AT1050">
        <f>HYPERLINK("http://catalog.hathitrust.org/Record/000913019","HathiTrust Record")</f>
        <v/>
      </c>
      <c r="AU1050">
        <f>HYPERLINK("https://creighton-primo.hosted.exlibrisgroup.com/primo-explore/search?tab=default_tab&amp;search_scope=EVERYTHING&amp;vid=01CRU&amp;lang=en_US&amp;offset=0&amp;query=any,contains,991004549989702656","Catalog Record")</f>
        <v/>
      </c>
      <c r="AV1050">
        <f>HYPERLINK("http://www.worldcat.org/oclc/17598211","WorldCat Record")</f>
        <v/>
      </c>
      <c r="AW1050" t="inlineStr">
        <is>
          <t>16217746:eng</t>
        </is>
      </c>
      <c r="AX1050" t="inlineStr">
        <is>
          <t>17598211</t>
        </is>
      </c>
      <c r="AY1050" t="inlineStr">
        <is>
          <t>991004549989702656</t>
        </is>
      </c>
      <c r="AZ1050" t="inlineStr">
        <is>
          <t>991004549989702656</t>
        </is>
      </c>
      <c r="BA1050" t="inlineStr">
        <is>
          <t>2264260850002656</t>
        </is>
      </c>
      <c r="BB1050" t="inlineStr">
        <is>
          <t>BOOK</t>
        </is>
      </c>
      <c r="BD1050" t="inlineStr">
        <is>
          <t>9780877452034</t>
        </is>
      </c>
      <c r="BE1050" t="inlineStr">
        <is>
          <t>32285005035786</t>
        </is>
      </c>
      <c r="BF1050" t="inlineStr">
        <is>
          <t>893532531</t>
        </is>
      </c>
    </row>
    <row r="1051">
      <c r="A1051" t="inlineStr">
        <is>
          <t>No</t>
        </is>
      </c>
      <c r="B1051" t="inlineStr">
        <is>
          <t>CURAL</t>
        </is>
      </c>
      <c r="C1051" t="inlineStr">
        <is>
          <t>SHELVES</t>
        </is>
      </c>
      <c r="D1051" t="inlineStr">
        <is>
          <t>PQ7791.R5 T4 1977</t>
        </is>
      </c>
      <c r="E1051" t="inlineStr">
        <is>
          <t>0                      PQ 7791000R  5                  T  4           1977</t>
        </is>
      </c>
      <c r="F1051" t="inlineStr">
        <is>
          <t>Teatro rioplatense (1886-1930) / E. Gutiérrez ... [et al.] ; prólogo, David Viñas ; selección y cronología, Jorge Lafforgue.</t>
        </is>
      </c>
      <c r="H1051" t="inlineStr">
        <is>
          <t>No</t>
        </is>
      </c>
      <c r="I1051" t="inlineStr">
        <is>
          <t>1</t>
        </is>
      </c>
      <c r="J1051" t="inlineStr">
        <is>
          <t>No</t>
        </is>
      </c>
      <c r="K1051" t="inlineStr">
        <is>
          <t>No</t>
        </is>
      </c>
      <c r="L1051" t="inlineStr">
        <is>
          <t>0</t>
        </is>
      </c>
      <c r="N1051" t="inlineStr">
        <is>
          <t>Caracas : Biblioteca Ayacucho, [1977]</t>
        </is>
      </c>
      <c r="O1051" t="inlineStr">
        <is>
          <t>1977</t>
        </is>
      </c>
      <c r="Q1051" t="inlineStr">
        <is>
          <t>spa</t>
        </is>
      </c>
      <c r="R1051" t="inlineStr">
        <is>
          <t xml:space="preserve">ve </t>
        </is>
      </c>
      <c r="S1051" t="inlineStr">
        <is>
          <t>Biblioteca Ayacucho ; 8</t>
        </is>
      </c>
      <c r="T1051" t="inlineStr">
        <is>
          <t xml:space="preserve">PQ </t>
        </is>
      </c>
      <c r="U1051" t="n">
        <v>1</v>
      </c>
      <c r="V1051" t="n">
        <v>1</v>
      </c>
      <c r="W1051" t="inlineStr">
        <is>
          <t>2001-11-19</t>
        </is>
      </c>
      <c r="X1051" t="inlineStr">
        <is>
          <t>2001-11-19</t>
        </is>
      </c>
      <c r="Y1051" t="inlineStr">
        <is>
          <t>2001-11-19</t>
        </is>
      </c>
      <c r="Z1051" t="inlineStr">
        <is>
          <t>2001-11-19</t>
        </is>
      </c>
      <c r="AA1051" t="n">
        <v>138</v>
      </c>
      <c r="AB1051" t="n">
        <v>91</v>
      </c>
      <c r="AC1051" t="n">
        <v>158</v>
      </c>
      <c r="AD1051" t="n">
        <v>1</v>
      </c>
      <c r="AE1051" t="n">
        <v>1</v>
      </c>
      <c r="AF1051" t="n">
        <v>2</v>
      </c>
      <c r="AG1051" t="n">
        <v>8</v>
      </c>
      <c r="AH1051" t="n">
        <v>0</v>
      </c>
      <c r="AI1051" t="n">
        <v>1</v>
      </c>
      <c r="AJ1051" t="n">
        <v>1</v>
      </c>
      <c r="AK1051" t="n">
        <v>4</v>
      </c>
      <c r="AL1051" t="n">
        <v>1</v>
      </c>
      <c r="AM1051" t="n">
        <v>6</v>
      </c>
      <c r="AN1051" t="n">
        <v>0</v>
      </c>
      <c r="AO1051" t="n">
        <v>0</v>
      </c>
      <c r="AP1051" t="n">
        <v>0</v>
      </c>
      <c r="AQ1051" t="n">
        <v>0</v>
      </c>
      <c r="AR1051" t="inlineStr">
        <is>
          <t>No</t>
        </is>
      </c>
      <c r="AS1051" t="inlineStr">
        <is>
          <t>Yes</t>
        </is>
      </c>
      <c r="AT1051">
        <f>HYPERLINK("http://catalog.hathitrust.org/Record/006714147","HathiTrust Record")</f>
        <v/>
      </c>
      <c r="AU1051">
        <f>HYPERLINK("https://creighton-primo.hosted.exlibrisgroup.com/primo-explore/search?tab=default_tab&amp;search_scope=EVERYTHING&amp;vid=01CRU&amp;lang=en_US&amp;offset=0&amp;query=any,contains,991003683169702656","Catalog Record")</f>
        <v/>
      </c>
      <c r="AV1051">
        <f>HYPERLINK("http://www.worldcat.org/oclc/4230905","WorldCat Record")</f>
        <v/>
      </c>
      <c r="AW1051" t="inlineStr">
        <is>
          <t>351482972:spa</t>
        </is>
      </c>
      <c r="AX1051" t="inlineStr">
        <is>
          <t>4230905</t>
        </is>
      </c>
      <c r="AY1051" t="inlineStr">
        <is>
          <t>991003683169702656</t>
        </is>
      </c>
      <c r="AZ1051" t="inlineStr">
        <is>
          <t>991003683169702656</t>
        </is>
      </c>
      <c r="BA1051" t="inlineStr">
        <is>
          <t>2263865900002656</t>
        </is>
      </c>
      <c r="BB1051" t="inlineStr">
        <is>
          <t>BOOK</t>
        </is>
      </c>
      <c r="BE1051" t="inlineStr">
        <is>
          <t>32285004412754</t>
        </is>
      </c>
      <c r="BF1051" t="inlineStr">
        <is>
          <t>893875039</t>
        </is>
      </c>
    </row>
    <row r="1052">
      <c r="A1052" t="inlineStr">
        <is>
          <t>No</t>
        </is>
      </c>
      <c r="B1052" t="inlineStr">
        <is>
          <t>CURAL</t>
        </is>
      </c>
      <c r="C1052" t="inlineStr">
        <is>
          <t>SHELVES</t>
        </is>
      </c>
      <c r="D1052" t="inlineStr">
        <is>
          <t>PQ7797 .B635 1989</t>
        </is>
      </c>
      <c r="E1052" t="inlineStr">
        <is>
          <t>0                      PQ 7797000B  635         1989</t>
        </is>
      </c>
      <c r="F1052" t="inlineStr">
        <is>
          <t>Obras completas / Jorge Luis Borges ; [edición realizada por Carlos V. Frías].</t>
        </is>
      </c>
      <c r="G1052" t="inlineStr">
        <is>
          <t>V.2</t>
        </is>
      </c>
      <c r="H1052" t="inlineStr">
        <is>
          <t>Yes</t>
        </is>
      </c>
      <c r="I1052" t="inlineStr">
        <is>
          <t>1</t>
        </is>
      </c>
      <c r="J1052" t="inlineStr">
        <is>
          <t>No</t>
        </is>
      </c>
      <c r="K1052" t="inlineStr">
        <is>
          <t>No</t>
        </is>
      </c>
      <c r="L1052" t="inlineStr">
        <is>
          <t>0</t>
        </is>
      </c>
      <c r="M1052" t="inlineStr">
        <is>
          <t>Borges, Jorge Luis, 1899-1986.</t>
        </is>
      </c>
      <c r="N1052" t="inlineStr">
        <is>
          <t>Barcelona, Spain : Emecé, c1989.</t>
        </is>
      </c>
      <c r="O1052" t="inlineStr">
        <is>
          <t>1989</t>
        </is>
      </c>
      <c r="Q1052" t="inlineStr">
        <is>
          <t>spa</t>
        </is>
      </c>
      <c r="R1052" t="inlineStr">
        <is>
          <t xml:space="preserve">sp </t>
        </is>
      </c>
      <c r="T1052" t="inlineStr">
        <is>
          <t xml:space="preserve">PQ </t>
        </is>
      </c>
      <c r="U1052" t="n">
        <v>3</v>
      </c>
      <c r="V1052" t="n">
        <v>14</v>
      </c>
      <c r="W1052" t="inlineStr">
        <is>
          <t>2003-11-18</t>
        </is>
      </c>
      <c r="X1052" t="inlineStr">
        <is>
          <t>2003-11-18</t>
        </is>
      </c>
      <c r="Y1052" t="inlineStr">
        <is>
          <t>1992-01-16</t>
        </is>
      </c>
      <c r="Z1052" t="inlineStr">
        <is>
          <t>1992-01-16</t>
        </is>
      </c>
      <c r="AA1052" t="n">
        <v>108</v>
      </c>
      <c r="AB1052" t="n">
        <v>76</v>
      </c>
      <c r="AC1052" t="n">
        <v>619</v>
      </c>
      <c r="AD1052" t="n">
        <v>1</v>
      </c>
      <c r="AE1052" t="n">
        <v>5</v>
      </c>
      <c r="AF1052" t="n">
        <v>4</v>
      </c>
      <c r="AG1052" t="n">
        <v>34</v>
      </c>
      <c r="AH1052" t="n">
        <v>0</v>
      </c>
      <c r="AI1052" t="n">
        <v>15</v>
      </c>
      <c r="AJ1052" t="n">
        <v>4</v>
      </c>
      <c r="AK1052" t="n">
        <v>8</v>
      </c>
      <c r="AL1052" t="n">
        <v>1</v>
      </c>
      <c r="AM1052" t="n">
        <v>14</v>
      </c>
      <c r="AN1052" t="n">
        <v>0</v>
      </c>
      <c r="AO1052" t="n">
        <v>4</v>
      </c>
      <c r="AP1052" t="n">
        <v>0</v>
      </c>
      <c r="AQ1052" t="n">
        <v>0</v>
      </c>
      <c r="AR1052" t="inlineStr">
        <is>
          <t>No</t>
        </is>
      </c>
      <c r="AS1052" t="inlineStr">
        <is>
          <t>Yes</t>
        </is>
      </c>
      <c r="AT1052">
        <f>HYPERLINK("http://catalog.hathitrust.org/Record/011241587","HathiTrust Record")</f>
        <v/>
      </c>
      <c r="AU1052">
        <f>HYPERLINK("https://creighton-primo.hosted.exlibrisgroup.com/primo-explore/search?tab=default_tab&amp;search_scope=EVERYTHING&amp;vid=01CRU&amp;lang=en_US&amp;offset=0&amp;query=any,contains,991001782179702656","Catalog Record")</f>
        <v/>
      </c>
      <c r="AV1052">
        <f>HYPERLINK("http://www.worldcat.org/oclc/22482215","WorldCat Record")</f>
        <v/>
      </c>
      <c r="AW1052" t="inlineStr">
        <is>
          <t>6379625:spa</t>
        </is>
      </c>
      <c r="AX1052" t="inlineStr">
        <is>
          <t>22482215</t>
        </is>
      </c>
      <c r="AY1052" t="inlineStr">
        <is>
          <t>991001782179702656</t>
        </is>
      </c>
      <c r="AZ1052" t="inlineStr">
        <is>
          <t>991001782179702656</t>
        </is>
      </c>
      <c r="BA1052" t="inlineStr">
        <is>
          <t>2258683440002656</t>
        </is>
      </c>
      <c r="BB1052" t="inlineStr">
        <is>
          <t>BOOK</t>
        </is>
      </c>
      <c r="BD1052" t="inlineStr">
        <is>
          <t>9788473540476</t>
        </is>
      </c>
      <c r="BE1052" t="inlineStr">
        <is>
          <t>32285000864537</t>
        </is>
      </c>
      <c r="BF1052" t="inlineStr">
        <is>
          <t>893316059</t>
        </is>
      </c>
    </row>
    <row r="1053">
      <c r="A1053" t="inlineStr">
        <is>
          <t>No</t>
        </is>
      </c>
      <c r="B1053" t="inlineStr">
        <is>
          <t>CURAL</t>
        </is>
      </c>
      <c r="C1053" t="inlineStr">
        <is>
          <t>SHELVES</t>
        </is>
      </c>
      <c r="D1053" t="inlineStr">
        <is>
          <t>PQ7797 .B635 1989</t>
        </is>
      </c>
      <c r="E1053" t="inlineStr">
        <is>
          <t>0                      PQ 7797000B  635         1989</t>
        </is>
      </c>
      <c r="F1053" t="inlineStr">
        <is>
          <t>Obras completas / Jorge Luis Borges ; [edición realizada por Carlos V. Frías].</t>
        </is>
      </c>
      <c r="G1053" t="inlineStr">
        <is>
          <t>V.1</t>
        </is>
      </c>
      <c r="H1053" t="inlineStr">
        <is>
          <t>Yes</t>
        </is>
      </c>
      <c r="I1053" t="inlineStr">
        <is>
          <t>1</t>
        </is>
      </c>
      <c r="J1053" t="inlineStr">
        <is>
          <t>No</t>
        </is>
      </c>
      <c r="K1053" t="inlineStr">
        <is>
          <t>No</t>
        </is>
      </c>
      <c r="L1053" t="inlineStr">
        <is>
          <t>0</t>
        </is>
      </c>
      <c r="M1053" t="inlineStr">
        <is>
          <t>Borges, Jorge Luis, 1899-1986.</t>
        </is>
      </c>
      <c r="N1053" t="inlineStr">
        <is>
          <t>Barcelona, Spain : Emecé, c1989.</t>
        </is>
      </c>
      <c r="O1053" t="inlineStr">
        <is>
          <t>1989</t>
        </is>
      </c>
      <c r="Q1053" t="inlineStr">
        <is>
          <t>spa</t>
        </is>
      </c>
      <c r="R1053" t="inlineStr">
        <is>
          <t xml:space="preserve">sp </t>
        </is>
      </c>
      <c r="T1053" t="inlineStr">
        <is>
          <t xml:space="preserve">PQ </t>
        </is>
      </c>
      <c r="U1053" t="n">
        <v>10</v>
      </c>
      <c r="V1053" t="n">
        <v>14</v>
      </c>
      <c r="W1053" t="inlineStr">
        <is>
          <t>2003-11-18</t>
        </is>
      </c>
      <c r="X1053" t="inlineStr">
        <is>
          <t>2003-11-18</t>
        </is>
      </c>
      <c r="Y1053" t="inlineStr">
        <is>
          <t>1992-01-16</t>
        </is>
      </c>
      <c r="Z1053" t="inlineStr">
        <is>
          <t>1992-01-16</t>
        </is>
      </c>
      <c r="AA1053" t="n">
        <v>108</v>
      </c>
      <c r="AB1053" t="n">
        <v>76</v>
      </c>
      <c r="AC1053" t="n">
        <v>619</v>
      </c>
      <c r="AD1053" t="n">
        <v>1</v>
      </c>
      <c r="AE1053" t="n">
        <v>5</v>
      </c>
      <c r="AF1053" t="n">
        <v>4</v>
      </c>
      <c r="AG1053" t="n">
        <v>34</v>
      </c>
      <c r="AH1053" t="n">
        <v>0</v>
      </c>
      <c r="AI1053" t="n">
        <v>15</v>
      </c>
      <c r="AJ1053" t="n">
        <v>4</v>
      </c>
      <c r="AK1053" t="n">
        <v>8</v>
      </c>
      <c r="AL1053" t="n">
        <v>1</v>
      </c>
      <c r="AM1053" t="n">
        <v>14</v>
      </c>
      <c r="AN1053" t="n">
        <v>0</v>
      </c>
      <c r="AO1053" t="n">
        <v>4</v>
      </c>
      <c r="AP1053" t="n">
        <v>0</v>
      </c>
      <c r="AQ1053" t="n">
        <v>0</v>
      </c>
      <c r="AR1053" t="inlineStr">
        <is>
          <t>No</t>
        </is>
      </c>
      <c r="AS1053" t="inlineStr">
        <is>
          <t>Yes</t>
        </is>
      </c>
      <c r="AT1053">
        <f>HYPERLINK("http://catalog.hathitrust.org/Record/011241587","HathiTrust Record")</f>
        <v/>
      </c>
      <c r="AU1053">
        <f>HYPERLINK("https://creighton-primo.hosted.exlibrisgroup.com/primo-explore/search?tab=default_tab&amp;search_scope=EVERYTHING&amp;vid=01CRU&amp;lang=en_US&amp;offset=0&amp;query=any,contains,991001782179702656","Catalog Record")</f>
        <v/>
      </c>
      <c r="AV1053">
        <f>HYPERLINK("http://www.worldcat.org/oclc/22482215","WorldCat Record")</f>
        <v/>
      </c>
      <c r="AW1053" t="inlineStr">
        <is>
          <t>6379625:spa</t>
        </is>
      </c>
      <c r="AX1053" t="inlineStr">
        <is>
          <t>22482215</t>
        </is>
      </c>
      <c r="AY1053" t="inlineStr">
        <is>
          <t>991001782179702656</t>
        </is>
      </c>
      <c r="AZ1053" t="inlineStr">
        <is>
          <t>991001782179702656</t>
        </is>
      </c>
      <c r="BA1053" t="inlineStr">
        <is>
          <t>2258683440002656</t>
        </is>
      </c>
      <c r="BB1053" t="inlineStr">
        <is>
          <t>BOOK</t>
        </is>
      </c>
      <c r="BD1053" t="inlineStr">
        <is>
          <t>9788473540476</t>
        </is>
      </c>
      <c r="BE1053" t="inlineStr">
        <is>
          <t>32285000864529</t>
        </is>
      </c>
      <c r="BF1053" t="inlineStr">
        <is>
          <t>893346773</t>
        </is>
      </c>
    </row>
    <row r="1054">
      <c r="A1054" t="inlineStr">
        <is>
          <t>No</t>
        </is>
      </c>
      <c r="B1054" t="inlineStr">
        <is>
          <t>CURAL</t>
        </is>
      </c>
      <c r="C1054" t="inlineStr">
        <is>
          <t>SHELVES</t>
        </is>
      </c>
      <c r="D1054" t="inlineStr">
        <is>
          <t>PQ7797 .B635 1989</t>
        </is>
      </c>
      <c r="E1054" t="inlineStr">
        <is>
          <t>0                      PQ 7797000B  635         1989</t>
        </is>
      </c>
      <c r="F1054" t="inlineStr">
        <is>
          <t>Obras completas / Jorge Luis Borges ; [edición realizada por Carlos V. Frías].</t>
        </is>
      </c>
      <c r="G1054" t="inlineStr">
        <is>
          <t>V.3</t>
        </is>
      </c>
      <c r="H1054" t="inlineStr">
        <is>
          <t>Yes</t>
        </is>
      </c>
      <c r="I1054" t="inlineStr">
        <is>
          <t>1</t>
        </is>
      </c>
      <c r="J1054" t="inlineStr">
        <is>
          <t>No</t>
        </is>
      </c>
      <c r="K1054" t="inlineStr">
        <is>
          <t>No</t>
        </is>
      </c>
      <c r="L1054" t="inlineStr">
        <is>
          <t>0</t>
        </is>
      </c>
      <c r="M1054" t="inlineStr">
        <is>
          <t>Borges, Jorge Luis, 1899-1986.</t>
        </is>
      </c>
      <c r="N1054" t="inlineStr">
        <is>
          <t>Barcelona, Spain : Emecé, c1989.</t>
        </is>
      </c>
      <c r="O1054" t="inlineStr">
        <is>
          <t>1989</t>
        </is>
      </c>
      <c r="Q1054" t="inlineStr">
        <is>
          <t>spa</t>
        </is>
      </c>
      <c r="R1054" t="inlineStr">
        <is>
          <t xml:space="preserve">sp </t>
        </is>
      </c>
      <c r="T1054" t="inlineStr">
        <is>
          <t xml:space="preserve">PQ </t>
        </is>
      </c>
      <c r="U1054" t="n">
        <v>1</v>
      </c>
      <c r="V1054" t="n">
        <v>14</v>
      </c>
      <c r="X1054" t="inlineStr">
        <is>
          <t>2003-11-18</t>
        </is>
      </c>
      <c r="Y1054" t="inlineStr">
        <is>
          <t>1992-01-16</t>
        </is>
      </c>
      <c r="Z1054" t="inlineStr">
        <is>
          <t>1992-01-16</t>
        </is>
      </c>
      <c r="AA1054" t="n">
        <v>108</v>
      </c>
      <c r="AB1054" t="n">
        <v>76</v>
      </c>
      <c r="AC1054" t="n">
        <v>619</v>
      </c>
      <c r="AD1054" t="n">
        <v>1</v>
      </c>
      <c r="AE1054" t="n">
        <v>5</v>
      </c>
      <c r="AF1054" t="n">
        <v>4</v>
      </c>
      <c r="AG1054" t="n">
        <v>34</v>
      </c>
      <c r="AH1054" t="n">
        <v>0</v>
      </c>
      <c r="AI1054" t="n">
        <v>15</v>
      </c>
      <c r="AJ1054" t="n">
        <v>4</v>
      </c>
      <c r="AK1054" t="n">
        <v>8</v>
      </c>
      <c r="AL1054" t="n">
        <v>1</v>
      </c>
      <c r="AM1054" t="n">
        <v>14</v>
      </c>
      <c r="AN1054" t="n">
        <v>0</v>
      </c>
      <c r="AO1054" t="n">
        <v>4</v>
      </c>
      <c r="AP1054" t="n">
        <v>0</v>
      </c>
      <c r="AQ1054" t="n">
        <v>0</v>
      </c>
      <c r="AR1054" t="inlineStr">
        <is>
          <t>No</t>
        </is>
      </c>
      <c r="AS1054" t="inlineStr">
        <is>
          <t>Yes</t>
        </is>
      </c>
      <c r="AT1054">
        <f>HYPERLINK("http://catalog.hathitrust.org/Record/011241587","HathiTrust Record")</f>
        <v/>
      </c>
      <c r="AU1054">
        <f>HYPERLINK("https://creighton-primo.hosted.exlibrisgroup.com/primo-explore/search?tab=default_tab&amp;search_scope=EVERYTHING&amp;vid=01CRU&amp;lang=en_US&amp;offset=0&amp;query=any,contains,991001782179702656","Catalog Record")</f>
        <v/>
      </c>
      <c r="AV1054">
        <f>HYPERLINK("http://www.worldcat.org/oclc/22482215","WorldCat Record")</f>
        <v/>
      </c>
      <c r="AW1054" t="inlineStr">
        <is>
          <t>6379625:spa</t>
        </is>
      </c>
      <c r="AX1054" t="inlineStr">
        <is>
          <t>22482215</t>
        </is>
      </c>
      <c r="AY1054" t="inlineStr">
        <is>
          <t>991001782179702656</t>
        </is>
      </c>
      <c r="AZ1054" t="inlineStr">
        <is>
          <t>991001782179702656</t>
        </is>
      </c>
      <c r="BA1054" t="inlineStr">
        <is>
          <t>2258683440002656</t>
        </is>
      </c>
      <c r="BB1054" t="inlineStr">
        <is>
          <t>BOOK</t>
        </is>
      </c>
      <c r="BD1054" t="inlineStr">
        <is>
          <t>9788473540476</t>
        </is>
      </c>
      <c r="BE1054" t="inlineStr">
        <is>
          <t>32285000864545</t>
        </is>
      </c>
      <c r="BF1054" t="inlineStr">
        <is>
          <t>893346774</t>
        </is>
      </c>
    </row>
    <row r="1055">
      <c r="A1055" t="inlineStr">
        <is>
          <t>No</t>
        </is>
      </c>
      <c r="B1055" t="inlineStr">
        <is>
          <t>CURAL</t>
        </is>
      </c>
      <c r="C1055" t="inlineStr">
        <is>
          <t>SHELVES</t>
        </is>
      </c>
      <c r="D1055" t="inlineStr">
        <is>
          <t>PQ7797.A66 Z8 1980</t>
        </is>
      </c>
      <c r="E1055" t="inlineStr">
        <is>
          <t>0                      PQ 7797000A  66                 Z  8           1980</t>
        </is>
      </c>
      <c r="F1055" t="inlineStr">
        <is>
          <t>Roberto Arlt y la rebelión alienada / Beatriz Pastor.</t>
        </is>
      </c>
      <c r="H1055" t="inlineStr">
        <is>
          <t>No</t>
        </is>
      </c>
      <c r="I1055" t="inlineStr">
        <is>
          <t>1</t>
        </is>
      </c>
      <c r="J1055" t="inlineStr">
        <is>
          <t>No</t>
        </is>
      </c>
      <c r="K1055" t="inlineStr">
        <is>
          <t>No</t>
        </is>
      </c>
      <c r="L1055" t="inlineStr">
        <is>
          <t>0</t>
        </is>
      </c>
      <c r="M1055" t="inlineStr">
        <is>
          <t>Pastor Bodmer, Beatriz.</t>
        </is>
      </c>
      <c r="N1055" t="inlineStr">
        <is>
          <t>Gaithersburg, MD : Hispamérica, c1980.</t>
        </is>
      </c>
      <c r="O1055" t="inlineStr">
        <is>
          <t>1980</t>
        </is>
      </c>
      <c r="Q1055" t="inlineStr">
        <is>
          <t>spa</t>
        </is>
      </c>
      <c r="R1055" t="inlineStr">
        <is>
          <t>mdu</t>
        </is>
      </c>
      <c r="T1055" t="inlineStr">
        <is>
          <t xml:space="preserve">PQ </t>
        </is>
      </c>
      <c r="U1055" t="n">
        <v>1</v>
      </c>
      <c r="V1055" t="n">
        <v>1</v>
      </c>
      <c r="W1055" t="inlineStr">
        <is>
          <t>2003-03-05</t>
        </is>
      </c>
      <c r="X1055" t="inlineStr">
        <is>
          <t>2003-03-05</t>
        </is>
      </c>
      <c r="Y1055" t="inlineStr">
        <is>
          <t>1996-12-03</t>
        </is>
      </c>
      <c r="Z1055" t="inlineStr">
        <is>
          <t>1996-12-03</t>
        </is>
      </c>
      <c r="AA1055" t="n">
        <v>192</v>
      </c>
      <c r="AB1055" t="n">
        <v>155</v>
      </c>
      <c r="AC1055" t="n">
        <v>162</v>
      </c>
      <c r="AD1055" t="n">
        <v>1</v>
      </c>
      <c r="AE1055" t="n">
        <v>1</v>
      </c>
      <c r="AF1055" t="n">
        <v>6</v>
      </c>
      <c r="AG1055" t="n">
        <v>6</v>
      </c>
      <c r="AH1055" t="n">
        <v>2</v>
      </c>
      <c r="AI1055" t="n">
        <v>2</v>
      </c>
      <c r="AJ1055" t="n">
        <v>3</v>
      </c>
      <c r="AK1055" t="n">
        <v>3</v>
      </c>
      <c r="AL1055" t="n">
        <v>3</v>
      </c>
      <c r="AM1055" t="n">
        <v>3</v>
      </c>
      <c r="AN1055" t="n">
        <v>0</v>
      </c>
      <c r="AO1055" t="n">
        <v>0</v>
      </c>
      <c r="AP1055" t="n">
        <v>0</v>
      </c>
      <c r="AQ1055" t="n">
        <v>0</v>
      </c>
      <c r="AR1055" t="inlineStr">
        <is>
          <t>No</t>
        </is>
      </c>
      <c r="AS1055" t="inlineStr">
        <is>
          <t>Yes</t>
        </is>
      </c>
      <c r="AT1055">
        <f>HYPERLINK("http://catalog.hathitrust.org/Record/000448441","HathiTrust Record")</f>
        <v/>
      </c>
      <c r="AU1055">
        <f>HYPERLINK("https://creighton-primo.hosted.exlibrisgroup.com/primo-explore/search?tab=default_tab&amp;search_scope=EVERYTHING&amp;vid=01CRU&amp;lang=en_US&amp;offset=0&amp;query=any,contains,991005246569702656","Catalog Record")</f>
        <v/>
      </c>
      <c r="AV1055">
        <f>HYPERLINK("http://www.worldcat.org/oclc/8467613","WorldCat Record")</f>
        <v/>
      </c>
      <c r="AW1055" t="inlineStr">
        <is>
          <t>31675033:spa</t>
        </is>
      </c>
      <c r="AX1055" t="inlineStr">
        <is>
          <t>8467613</t>
        </is>
      </c>
      <c r="AY1055" t="inlineStr">
        <is>
          <t>991005246569702656</t>
        </is>
      </c>
      <c r="AZ1055" t="inlineStr">
        <is>
          <t>991005246569702656</t>
        </is>
      </c>
      <c r="BA1055" t="inlineStr">
        <is>
          <t>2272278850002656</t>
        </is>
      </c>
      <c r="BB1055" t="inlineStr">
        <is>
          <t>BOOK</t>
        </is>
      </c>
      <c r="BD1055" t="inlineStr">
        <is>
          <t>9780935318050</t>
        </is>
      </c>
      <c r="BE1055" t="inlineStr">
        <is>
          <t>32285002387446</t>
        </is>
      </c>
      <c r="BF1055" t="inlineStr">
        <is>
          <t>893619689</t>
        </is>
      </c>
    </row>
    <row r="1056">
      <c r="A1056" t="inlineStr">
        <is>
          <t>No</t>
        </is>
      </c>
      <c r="B1056" t="inlineStr">
        <is>
          <t>CURAL</t>
        </is>
      </c>
      <c r="C1056" t="inlineStr">
        <is>
          <t>SHELVES</t>
        </is>
      </c>
      <c r="D1056" t="inlineStr">
        <is>
          <t>PQ7797.B635 Z57</t>
        </is>
      </c>
      <c r="E1056" t="inlineStr">
        <is>
          <t>0                      PQ 7797000B  635                Z  57</t>
        </is>
      </c>
      <c r="F1056" t="inlineStr">
        <is>
          <t>Jorge Luis Borges.</t>
        </is>
      </c>
      <c r="H1056" t="inlineStr">
        <is>
          <t>No</t>
        </is>
      </c>
      <c r="I1056" t="inlineStr">
        <is>
          <t>1</t>
        </is>
      </c>
      <c r="J1056" t="inlineStr">
        <is>
          <t>Yes</t>
        </is>
      </c>
      <c r="K1056" t="inlineStr">
        <is>
          <t>No</t>
        </is>
      </c>
      <c r="L1056" t="inlineStr">
        <is>
          <t>0</t>
        </is>
      </c>
      <c r="M1056" t="inlineStr">
        <is>
          <t>Alazraki, Jaime.</t>
        </is>
      </c>
      <c r="N1056" t="inlineStr">
        <is>
          <t>New York : Columbia University Press, 1971.</t>
        </is>
      </c>
      <c r="O1056" t="inlineStr">
        <is>
          <t>1971</t>
        </is>
      </c>
      <c r="Q1056" t="inlineStr">
        <is>
          <t>eng</t>
        </is>
      </c>
      <c r="R1056" t="inlineStr">
        <is>
          <t>nyu</t>
        </is>
      </c>
      <c r="S1056" t="inlineStr">
        <is>
          <t>Columbia essays on modern writers ; 57</t>
        </is>
      </c>
      <c r="T1056" t="inlineStr">
        <is>
          <t xml:space="preserve">PQ </t>
        </is>
      </c>
      <c r="U1056" t="n">
        <v>4</v>
      </c>
      <c r="V1056" t="n">
        <v>11</v>
      </c>
      <c r="W1056" t="inlineStr">
        <is>
          <t>1996-04-28</t>
        </is>
      </c>
      <c r="X1056" t="inlineStr">
        <is>
          <t>2004-10-06</t>
        </is>
      </c>
      <c r="Y1056" t="inlineStr">
        <is>
          <t>1991-08-13</t>
        </is>
      </c>
      <c r="Z1056" t="inlineStr">
        <is>
          <t>1991-08-13</t>
        </is>
      </c>
      <c r="AA1056" t="n">
        <v>732</v>
      </c>
      <c r="AB1056" t="n">
        <v>642</v>
      </c>
      <c r="AC1056" t="n">
        <v>646</v>
      </c>
      <c r="AD1056" t="n">
        <v>5</v>
      </c>
      <c r="AE1056" t="n">
        <v>5</v>
      </c>
      <c r="AF1056" t="n">
        <v>29</v>
      </c>
      <c r="AG1056" t="n">
        <v>29</v>
      </c>
      <c r="AH1056" t="n">
        <v>13</v>
      </c>
      <c r="AI1056" t="n">
        <v>13</v>
      </c>
      <c r="AJ1056" t="n">
        <v>6</v>
      </c>
      <c r="AK1056" t="n">
        <v>6</v>
      </c>
      <c r="AL1056" t="n">
        <v>13</v>
      </c>
      <c r="AM1056" t="n">
        <v>13</v>
      </c>
      <c r="AN1056" t="n">
        <v>4</v>
      </c>
      <c r="AO1056" t="n">
        <v>4</v>
      </c>
      <c r="AP1056" t="n">
        <v>0</v>
      </c>
      <c r="AQ1056" t="n">
        <v>0</v>
      </c>
      <c r="AR1056" t="inlineStr">
        <is>
          <t>No</t>
        </is>
      </c>
      <c r="AS1056" t="inlineStr">
        <is>
          <t>No</t>
        </is>
      </c>
      <c r="AU1056">
        <f>HYPERLINK("https://creighton-primo.hosted.exlibrisgroup.com/primo-explore/search?tab=default_tab&amp;search_scope=EVERYTHING&amp;vid=01CRU&amp;lang=en_US&amp;offset=0&amp;query=any,contains,991000928979702656","Catalog Record")</f>
        <v/>
      </c>
      <c r="AV1056">
        <f>HYPERLINK("http://www.worldcat.org/oclc/163790","WorldCat Record")</f>
        <v/>
      </c>
      <c r="AW1056" t="inlineStr">
        <is>
          <t>53647599:eng</t>
        </is>
      </c>
      <c r="AX1056" t="inlineStr">
        <is>
          <t>163790</t>
        </is>
      </c>
      <c r="AY1056" t="inlineStr">
        <is>
          <t>991000928979702656</t>
        </is>
      </c>
      <c r="AZ1056" t="inlineStr">
        <is>
          <t>991000928979702656</t>
        </is>
      </c>
      <c r="BA1056" t="inlineStr">
        <is>
          <t>2272186050002656</t>
        </is>
      </c>
      <c r="BB1056" t="inlineStr">
        <is>
          <t>BOOK</t>
        </is>
      </c>
      <c r="BD1056" t="inlineStr">
        <is>
          <t>9780231032834</t>
        </is>
      </c>
      <c r="BE1056" t="inlineStr">
        <is>
          <t>32285000683572</t>
        </is>
      </c>
      <c r="BF1056" t="inlineStr">
        <is>
          <t>893708841</t>
        </is>
      </c>
    </row>
    <row r="1057">
      <c r="A1057" t="inlineStr">
        <is>
          <t>No</t>
        </is>
      </c>
      <c r="B1057" t="inlineStr">
        <is>
          <t>CURAL</t>
        </is>
      </c>
      <c r="C1057" t="inlineStr">
        <is>
          <t>SHELVES</t>
        </is>
      </c>
      <c r="D1057" t="inlineStr">
        <is>
          <t>PQ7797.B635 Z57</t>
        </is>
      </c>
      <c r="E1057" t="inlineStr">
        <is>
          <t>0                      PQ 7797000B  635                Z  57</t>
        </is>
      </c>
      <c r="F1057" t="inlineStr">
        <is>
          <t>Jorge Luis Borges.</t>
        </is>
      </c>
      <c r="H1057" t="inlineStr">
        <is>
          <t>No</t>
        </is>
      </c>
      <c r="I1057" t="inlineStr">
        <is>
          <t>1</t>
        </is>
      </c>
      <c r="J1057" t="inlineStr">
        <is>
          <t>Yes</t>
        </is>
      </c>
      <c r="K1057" t="inlineStr">
        <is>
          <t>No</t>
        </is>
      </c>
      <c r="L1057" t="inlineStr">
        <is>
          <t>0</t>
        </is>
      </c>
      <c r="M1057" t="inlineStr">
        <is>
          <t>Alazraki, Jaime.</t>
        </is>
      </c>
      <c r="N1057" t="inlineStr">
        <is>
          <t>New York : Columbia University Press, 1971.</t>
        </is>
      </c>
      <c r="O1057" t="inlineStr">
        <is>
          <t>1971</t>
        </is>
      </c>
      <c r="Q1057" t="inlineStr">
        <is>
          <t>eng</t>
        </is>
      </c>
      <c r="R1057" t="inlineStr">
        <is>
          <t>nyu</t>
        </is>
      </c>
      <c r="S1057" t="inlineStr">
        <is>
          <t>Columbia essays on modern writers ; 57</t>
        </is>
      </c>
      <c r="T1057" t="inlineStr">
        <is>
          <t xml:space="preserve">PQ </t>
        </is>
      </c>
      <c r="U1057" t="n">
        <v>7</v>
      </c>
      <c r="V1057" t="n">
        <v>11</v>
      </c>
      <c r="W1057" t="inlineStr">
        <is>
          <t>2004-10-06</t>
        </is>
      </c>
      <c r="X1057" t="inlineStr">
        <is>
          <t>2004-10-06</t>
        </is>
      </c>
      <c r="Y1057" t="inlineStr">
        <is>
          <t>1991-08-13</t>
        </is>
      </c>
      <c r="Z1057" t="inlineStr">
        <is>
          <t>1991-08-13</t>
        </is>
      </c>
      <c r="AA1057" t="n">
        <v>732</v>
      </c>
      <c r="AB1057" t="n">
        <v>642</v>
      </c>
      <c r="AC1057" t="n">
        <v>646</v>
      </c>
      <c r="AD1057" t="n">
        <v>5</v>
      </c>
      <c r="AE1057" t="n">
        <v>5</v>
      </c>
      <c r="AF1057" t="n">
        <v>29</v>
      </c>
      <c r="AG1057" t="n">
        <v>29</v>
      </c>
      <c r="AH1057" t="n">
        <v>13</v>
      </c>
      <c r="AI1057" t="n">
        <v>13</v>
      </c>
      <c r="AJ1057" t="n">
        <v>6</v>
      </c>
      <c r="AK1057" t="n">
        <v>6</v>
      </c>
      <c r="AL1057" t="n">
        <v>13</v>
      </c>
      <c r="AM1057" t="n">
        <v>13</v>
      </c>
      <c r="AN1057" t="n">
        <v>4</v>
      </c>
      <c r="AO1057" t="n">
        <v>4</v>
      </c>
      <c r="AP1057" t="n">
        <v>0</v>
      </c>
      <c r="AQ1057" t="n">
        <v>0</v>
      </c>
      <c r="AR1057" t="inlineStr">
        <is>
          <t>No</t>
        </is>
      </c>
      <c r="AS1057" t="inlineStr">
        <is>
          <t>No</t>
        </is>
      </c>
      <c r="AU1057">
        <f>HYPERLINK("https://creighton-primo.hosted.exlibrisgroup.com/primo-explore/search?tab=default_tab&amp;search_scope=EVERYTHING&amp;vid=01CRU&amp;lang=en_US&amp;offset=0&amp;query=any,contains,991000928979702656","Catalog Record")</f>
        <v/>
      </c>
      <c r="AV1057">
        <f>HYPERLINK("http://www.worldcat.org/oclc/163790","WorldCat Record")</f>
        <v/>
      </c>
      <c r="AW1057" t="inlineStr">
        <is>
          <t>53647599:eng</t>
        </is>
      </c>
      <c r="AX1057" t="inlineStr">
        <is>
          <t>163790</t>
        </is>
      </c>
      <c r="AY1057" t="inlineStr">
        <is>
          <t>991000928979702656</t>
        </is>
      </c>
      <c r="AZ1057" t="inlineStr">
        <is>
          <t>991000928979702656</t>
        </is>
      </c>
      <c r="BA1057" t="inlineStr">
        <is>
          <t>2272186050002656</t>
        </is>
      </c>
      <c r="BB1057" t="inlineStr">
        <is>
          <t>BOOK</t>
        </is>
      </c>
      <c r="BD1057" t="inlineStr">
        <is>
          <t>9780231032834</t>
        </is>
      </c>
      <c r="BE1057" t="inlineStr">
        <is>
          <t>32285000683580</t>
        </is>
      </c>
      <c r="BF1057" t="inlineStr">
        <is>
          <t>893702569</t>
        </is>
      </c>
    </row>
    <row r="1058">
      <c r="A1058" t="inlineStr">
        <is>
          <t>No</t>
        </is>
      </c>
      <c r="B1058" t="inlineStr">
        <is>
          <t>CURAL</t>
        </is>
      </c>
      <c r="C1058" t="inlineStr">
        <is>
          <t>SHELVES</t>
        </is>
      </c>
      <c r="D1058" t="inlineStr">
        <is>
          <t>PQ7797.B635 Z58</t>
        </is>
      </c>
      <c r="E1058" t="inlineStr">
        <is>
          <t>0                      PQ 7797000B  635                Z  58</t>
        </is>
      </c>
      <c r="F1058" t="inlineStr">
        <is>
          <t>La prosa narrativa de Jorge Luis Borges : temas, estilo.</t>
        </is>
      </c>
      <c r="H1058" t="inlineStr">
        <is>
          <t>No</t>
        </is>
      </c>
      <c r="I1058" t="inlineStr">
        <is>
          <t>1</t>
        </is>
      </c>
      <c r="J1058" t="inlineStr">
        <is>
          <t>No</t>
        </is>
      </c>
      <c r="K1058" t="inlineStr">
        <is>
          <t>No</t>
        </is>
      </c>
      <c r="L1058" t="inlineStr">
        <is>
          <t>0</t>
        </is>
      </c>
      <c r="M1058" t="inlineStr">
        <is>
          <t>Alazraki, Jaime.</t>
        </is>
      </c>
      <c r="N1058" t="inlineStr">
        <is>
          <t>Madrid : Editorial Gredos, [1968]</t>
        </is>
      </c>
      <c r="O1058" t="inlineStr">
        <is>
          <t>1968</t>
        </is>
      </c>
      <c r="Q1058" t="inlineStr">
        <is>
          <t>spa</t>
        </is>
      </c>
      <c r="R1058" t="inlineStr">
        <is>
          <t xml:space="preserve">sp </t>
        </is>
      </c>
      <c r="S1058" t="inlineStr">
        <is>
          <t>Biblioteca románica hispánica. II, Estudios y ensayos ; 112</t>
        </is>
      </c>
      <c r="T1058" t="inlineStr">
        <is>
          <t xml:space="preserve">PQ </t>
        </is>
      </c>
      <c r="U1058" t="n">
        <v>2</v>
      </c>
      <c r="V1058" t="n">
        <v>2</v>
      </c>
      <c r="W1058" t="inlineStr">
        <is>
          <t>1994-12-12</t>
        </is>
      </c>
      <c r="X1058" t="inlineStr">
        <is>
          <t>1994-12-12</t>
        </is>
      </c>
      <c r="Y1058" t="inlineStr">
        <is>
          <t>1994-05-10</t>
        </is>
      </c>
      <c r="Z1058" t="inlineStr">
        <is>
          <t>1994-05-10</t>
        </is>
      </c>
      <c r="AA1058" t="n">
        <v>452</v>
      </c>
      <c r="AB1058" t="n">
        <v>380</v>
      </c>
      <c r="AC1058" t="n">
        <v>586</v>
      </c>
      <c r="AD1058" t="n">
        <v>2</v>
      </c>
      <c r="AE1058" t="n">
        <v>4</v>
      </c>
      <c r="AF1058" t="n">
        <v>21</v>
      </c>
      <c r="AG1058" t="n">
        <v>33</v>
      </c>
      <c r="AH1058" t="n">
        <v>7</v>
      </c>
      <c r="AI1058" t="n">
        <v>14</v>
      </c>
      <c r="AJ1058" t="n">
        <v>8</v>
      </c>
      <c r="AK1058" t="n">
        <v>9</v>
      </c>
      <c r="AL1058" t="n">
        <v>10</v>
      </c>
      <c r="AM1058" t="n">
        <v>15</v>
      </c>
      <c r="AN1058" t="n">
        <v>1</v>
      </c>
      <c r="AO1058" t="n">
        <v>3</v>
      </c>
      <c r="AP1058" t="n">
        <v>0</v>
      </c>
      <c r="AQ1058" t="n">
        <v>0</v>
      </c>
      <c r="AR1058" t="inlineStr">
        <is>
          <t>No</t>
        </is>
      </c>
      <c r="AS1058" t="inlineStr">
        <is>
          <t>Yes</t>
        </is>
      </c>
      <c r="AT1058">
        <f>HYPERLINK("http://catalog.hathitrust.org/Record/001037221","HathiTrust Record")</f>
        <v/>
      </c>
      <c r="AU1058">
        <f>HYPERLINK("https://creighton-primo.hosted.exlibrisgroup.com/primo-explore/search?tab=default_tab&amp;search_scope=EVERYTHING&amp;vid=01CRU&amp;lang=en_US&amp;offset=0&amp;query=any,contains,991002308549702656","Catalog Record")</f>
        <v/>
      </c>
      <c r="AV1058">
        <f>HYPERLINK("http://www.worldcat.org/oclc/319179","WorldCat Record")</f>
        <v/>
      </c>
      <c r="AW1058" t="inlineStr">
        <is>
          <t>375992691:spa</t>
        </is>
      </c>
      <c r="AX1058" t="inlineStr">
        <is>
          <t>319179</t>
        </is>
      </c>
      <c r="AY1058" t="inlineStr">
        <is>
          <t>991002308549702656</t>
        </is>
      </c>
      <c r="AZ1058" t="inlineStr">
        <is>
          <t>991002308549702656</t>
        </is>
      </c>
      <c r="BA1058" t="inlineStr">
        <is>
          <t>2270015410002656</t>
        </is>
      </c>
      <c r="BB1058" t="inlineStr">
        <is>
          <t>BOOK</t>
        </is>
      </c>
      <c r="BE1058" t="inlineStr">
        <is>
          <t>32285001909745</t>
        </is>
      </c>
      <c r="BF1058" t="inlineStr">
        <is>
          <t>893347353</t>
        </is>
      </c>
    </row>
    <row r="1059">
      <c r="A1059" t="inlineStr">
        <is>
          <t>No</t>
        </is>
      </c>
      <c r="B1059" t="inlineStr">
        <is>
          <t>CURAL</t>
        </is>
      </c>
      <c r="C1059" t="inlineStr">
        <is>
          <t>SHELVES</t>
        </is>
      </c>
      <c r="D1059" t="inlineStr">
        <is>
          <t>PQ7797.B635 Z63 1967</t>
        </is>
      </c>
      <c r="E1059" t="inlineStr">
        <is>
          <t>0                      PQ 7797000B  635                Z  63          1967</t>
        </is>
      </c>
      <c r="F1059" t="inlineStr">
        <is>
          <t>La expresión de la irrealidad en la obra de Borges / Ana Maria Barrenechea.</t>
        </is>
      </c>
      <c r="H1059" t="inlineStr">
        <is>
          <t>No</t>
        </is>
      </c>
      <c r="I1059" t="inlineStr">
        <is>
          <t>1</t>
        </is>
      </c>
      <c r="J1059" t="inlineStr">
        <is>
          <t>No</t>
        </is>
      </c>
      <c r="K1059" t="inlineStr">
        <is>
          <t>No</t>
        </is>
      </c>
      <c r="L1059" t="inlineStr">
        <is>
          <t>0</t>
        </is>
      </c>
      <c r="M1059" t="inlineStr">
        <is>
          <t>Barrenechea, Ana María.</t>
        </is>
      </c>
      <c r="N1059" t="inlineStr">
        <is>
          <t>[Buenos Aires] : Paidós, [1967]</t>
        </is>
      </c>
      <c r="O1059" t="inlineStr">
        <is>
          <t>1967</t>
        </is>
      </c>
      <c r="Q1059" t="inlineStr">
        <is>
          <t>spa</t>
        </is>
      </c>
      <c r="R1059" t="inlineStr">
        <is>
          <t xml:space="preserve">ag </t>
        </is>
      </c>
      <c r="S1059" t="inlineStr">
        <is>
          <t>Letras argentinas Paidós ; 5</t>
        </is>
      </c>
      <c r="T1059" t="inlineStr">
        <is>
          <t xml:space="preserve">PQ </t>
        </is>
      </c>
      <c r="U1059" t="n">
        <v>1</v>
      </c>
      <c r="V1059" t="n">
        <v>1</v>
      </c>
      <c r="W1059" t="inlineStr">
        <is>
          <t>2005-03-23</t>
        </is>
      </c>
      <c r="X1059" t="inlineStr">
        <is>
          <t>2005-03-23</t>
        </is>
      </c>
      <c r="Y1059" t="inlineStr">
        <is>
          <t>2005-03-23</t>
        </is>
      </c>
      <c r="Z1059" t="inlineStr">
        <is>
          <t>2005-03-23</t>
        </is>
      </c>
      <c r="AA1059" t="n">
        <v>259</v>
      </c>
      <c r="AB1059" t="n">
        <v>209</v>
      </c>
      <c r="AC1059" t="n">
        <v>218</v>
      </c>
      <c r="AD1059" t="n">
        <v>3</v>
      </c>
      <c r="AE1059" t="n">
        <v>3</v>
      </c>
      <c r="AF1059" t="n">
        <v>12</v>
      </c>
      <c r="AG1059" t="n">
        <v>12</v>
      </c>
      <c r="AH1059" t="n">
        <v>5</v>
      </c>
      <c r="AI1059" t="n">
        <v>5</v>
      </c>
      <c r="AJ1059" t="n">
        <v>2</v>
      </c>
      <c r="AK1059" t="n">
        <v>2</v>
      </c>
      <c r="AL1059" t="n">
        <v>8</v>
      </c>
      <c r="AM1059" t="n">
        <v>8</v>
      </c>
      <c r="AN1059" t="n">
        <v>2</v>
      </c>
      <c r="AO1059" t="n">
        <v>2</v>
      </c>
      <c r="AP1059" t="n">
        <v>0</v>
      </c>
      <c r="AQ1059" t="n">
        <v>0</v>
      </c>
      <c r="AR1059" t="inlineStr">
        <is>
          <t>No</t>
        </is>
      </c>
      <c r="AS1059" t="inlineStr">
        <is>
          <t>Yes</t>
        </is>
      </c>
      <c r="AT1059">
        <f>HYPERLINK("http://catalog.hathitrust.org/Record/001522621","HathiTrust Record")</f>
        <v/>
      </c>
      <c r="AU1059">
        <f>HYPERLINK("https://creighton-primo.hosted.exlibrisgroup.com/primo-explore/search?tab=default_tab&amp;search_scope=EVERYTHING&amp;vid=01CRU&amp;lang=en_US&amp;offset=0&amp;query=any,contains,991004509759702656","Catalog Record")</f>
        <v/>
      </c>
      <c r="AV1059">
        <f>HYPERLINK("http://www.worldcat.org/oclc/568367","WorldCat Record")</f>
        <v/>
      </c>
      <c r="AW1059" t="inlineStr">
        <is>
          <t>349368701:spa</t>
        </is>
      </c>
      <c r="AX1059" t="inlineStr">
        <is>
          <t>568367</t>
        </is>
      </c>
      <c r="AY1059" t="inlineStr">
        <is>
          <t>991004509759702656</t>
        </is>
      </c>
      <c r="AZ1059" t="inlineStr">
        <is>
          <t>991004509759702656</t>
        </is>
      </c>
      <c r="BA1059" t="inlineStr">
        <is>
          <t>2257499640002656</t>
        </is>
      </c>
      <c r="BB1059" t="inlineStr">
        <is>
          <t>BOOK</t>
        </is>
      </c>
      <c r="BE1059" t="inlineStr">
        <is>
          <t>32285005044549</t>
        </is>
      </c>
      <c r="BF1059" t="inlineStr">
        <is>
          <t>893606121</t>
        </is>
      </c>
    </row>
    <row r="1060">
      <c r="A1060" t="inlineStr">
        <is>
          <t>No</t>
        </is>
      </c>
      <c r="B1060" t="inlineStr">
        <is>
          <t>CURAL</t>
        </is>
      </c>
      <c r="C1060" t="inlineStr">
        <is>
          <t>SHELVES</t>
        </is>
      </c>
      <c r="D1060" t="inlineStr">
        <is>
          <t>PQ7797.B635 Z7 1998</t>
        </is>
      </c>
      <c r="E1060" t="inlineStr">
        <is>
          <t>0                      PQ 7797000B  635                Z  7           1998</t>
        </is>
      </c>
      <c r="F1060" t="inlineStr">
        <is>
          <t>Expliquémonos a Borges como poeta / compilación y prólogo de Angel Flores.</t>
        </is>
      </c>
      <c r="H1060" t="inlineStr">
        <is>
          <t>No</t>
        </is>
      </c>
      <c r="I1060" t="inlineStr">
        <is>
          <t>1</t>
        </is>
      </c>
      <c r="J1060" t="inlineStr">
        <is>
          <t>No</t>
        </is>
      </c>
      <c r="K1060" t="inlineStr">
        <is>
          <t>No</t>
        </is>
      </c>
      <c r="L1060" t="inlineStr">
        <is>
          <t>0</t>
        </is>
      </c>
      <c r="N1060" t="inlineStr">
        <is>
          <t>México : Siglo XXI, 1998.</t>
        </is>
      </c>
      <c r="O1060" t="inlineStr">
        <is>
          <t>1998</t>
        </is>
      </c>
      <c r="P1060" t="inlineStr">
        <is>
          <t>2a ed.</t>
        </is>
      </c>
      <c r="Q1060" t="inlineStr">
        <is>
          <t>spa</t>
        </is>
      </c>
      <c r="R1060" t="inlineStr">
        <is>
          <t xml:space="preserve">mx </t>
        </is>
      </c>
      <c r="S1060" t="inlineStr">
        <is>
          <t>La creación literaria (Siglo XXI Editores)</t>
        </is>
      </c>
      <c r="T1060" t="inlineStr">
        <is>
          <t xml:space="preserve">PQ </t>
        </is>
      </c>
      <c r="U1060" t="n">
        <v>2</v>
      </c>
      <c r="V1060" t="n">
        <v>2</v>
      </c>
      <c r="W1060" t="inlineStr">
        <is>
          <t>2002-06-20</t>
        </is>
      </c>
      <c r="X1060" t="inlineStr">
        <is>
          <t>2002-06-20</t>
        </is>
      </c>
      <c r="Y1060" t="inlineStr">
        <is>
          <t>2002-06-12</t>
        </is>
      </c>
      <c r="Z1060" t="inlineStr">
        <is>
          <t>2002-06-12</t>
        </is>
      </c>
      <c r="AA1060" t="n">
        <v>6</v>
      </c>
      <c r="AB1060" t="n">
        <v>3</v>
      </c>
      <c r="AC1060" t="n">
        <v>118</v>
      </c>
      <c r="AD1060" t="n">
        <v>1</v>
      </c>
      <c r="AE1060" t="n">
        <v>1</v>
      </c>
      <c r="AF1060" t="n">
        <v>0</v>
      </c>
      <c r="AG1060" t="n">
        <v>5</v>
      </c>
      <c r="AH1060" t="n">
        <v>0</v>
      </c>
      <c r="AI1060" t="n">
        <v>0</v>
      </c>
      <c r="AJ1060" t="n">
        <v>0</v>
      </c>
      <c r="AK1060" t="n">
        <v>3</v>
      </c>
      <c r="AL1060" t="n">
        <v>0</v>
      </c>
      <c r="AM1060" t="n">
        <v>3</v>
      </c>
      <c r="AN1060" t="n">
        <v>0</v>
      </c>
      <c r="AO1060" t="n">
        <v>0</v>
      </c>
      <c r="AP1060" t="n">
        <v>0</v>
      </c>
      <c r="AQ1060" t="n">
        <v>0</v>
      </c>
      <c r="AR1060" t="inlineStr">
        <is>
          <t>No</t>
        </is>
      </c>
      <c r="AS1060" t="inlineStr">
        <is>
          <t>No</t>
        </is>
      </c>
      <c r="AU1060">
        <f>HYPERLINK("https://creighton-primo.hosted.exlibrisgroup.com/primo-explore/search?tab=default_tab&amp;search_scope=EVERYTHING&amp;vid=01CRU&amp;lang=en_US&amp;offset=0&amp;query=any,contains,991003817429702656","Catalog Record")</f>
        <v/>
      </c>
      <c r="AV1060">
        <f>HYPERLINK("http://www.worldcat.org/oclc/43599316","WorldCat Record")</f>
        <v/>
      </c>
      <c r="AW1060" t="inlineStr">
        <is>
          <t>429317360:spa</t>
        </is>
      </c>
      <c r="AX1060" t="inlineStr">
        <is>
          <t>43599316</t>
        </is>
      </c>
      <c r="AY1060" t="inlineStr">
        <is>
          <t>991003817429702656</t>
        </is>
      </c>
      <c r="AZ1060" t="inlineStr">
        <is>
          <t>991003817429702656</t>
        </is>
      </c>
      <c r="BA1060" t="inlineStr">
        <is>
          <t>2266508340002656</t>
        </is>
      </c>
      <c r="BB1060" t="inlineStr">
        <is>
          <t>BOOK</t>
        </is>
      </c>
      <c r="BD1060" t="inlineStr">
        <is>
          <t>9789682309113</t>
        </is>
      </c>
      <c r="BE1060" t="inlineStr">
        <is>
          <t>32285004494620</t>
        </is>
      </c>
      <c r="BF1060" t="inlineStr">
        <is>
          <t>893435479</t>
        </is>
      </c>
    </row>
    <row r="1061">
      <c r="A1061" t="inlineStr">
        <is>
          <t>No</t>
        </is>
      </c>
      <c r="B1061" t="inlineStr">
        <is>
          <t>CURAL</t>
        </is>
      </c>
      <c r="C1061" t="inlineStr">
        <is>
          <t>SHELVES</t>
        </is>
      </c>
      <c r="D1061" t="inlineStr">
        <is>
          <t>PQ7797.B635 Z7744 1996</t>
        </is>
      </c>
      <c r="E1061" t="inlineStr">
        <is>
          <t>0                      PQ 7797000B  635                Z  7744        1996</t>
        </is>
      </c>
      <c r="F1061" t="inlineStr">
        <is>
          <t>Borges and the European avant-garde / Linda S. Maier.</t>
        </is>
      </c>
      <c r="H1061" t="inlineStr">
        <is>
          <t>No</t>
        </is>
      </c>
      <c r="I1061" t="inlineStr">
        <is>
          <t>1</t>
        </is>
      </c>
      <c r="J1061" t="inlineStr">
        <is>
          <t>No</t>
        </is>
      </c>
      <c r="K1061" t="inlineStr">
        <is>
          <t>No</t>
        </is>
      </c>
      <c r="L1061" t="inlineStr">
        <is>
          <t>0</t>
        </is>
      </c>
      <c r="M1061" t="inlineStr">
        <is>
          <t>Maier, Linda S., 1957-</t>
        </is>
      </c>
      <c r="N1061" t="inlineStr">
        <is>
          <t>New York : P. Lang, c1996.</t>
        </is>
      </c>
      <c r="O1061" t="inlineStr">
        <is>
          <t>1996</t>
        </is>
      </c>
      <c r="Q1061" t="inlineStr">
        <is>
          <t>eng</t>
        </is>
      </c>
      <c r="R1061" t="inlineStr">
        <is>
          <t>nyu</t>
        </is>
      </c>
      <c r="S1061" t="inlineStr">
        <is>
          <t>American university studies. Series II, Romance languages and literature ; vol. 183</t>
        </is>
      </c>
      <c r="T1061" t="inlineStr">
        <is>
          <t xml:space="preserve">PQ </t>
        </is>
      </c>
      <c r="U1061" t="n">
        <v>6</v>
      </c>
      <c r="V1061" t="n">
        <v>6</v>
      </c>
      <c r="W1061" t="inlineStr">
        <is>
          <t>2005-10-13</t>
        </is>
      </c>
      <c r="X1061" t="inlineStr">
        <is>
          <t>2005-10-13</t>
        </is>
      </c>
      <c r="Y1061" t="inlineStr">
        <is>
          <t>1998-06-10</t>
        </is>
      </c>
      <c r="Z1061" t="inlineStr">
        <is>
          <t>1998-06-10</t>
        </is>
      </c>
      <c r="AA1061" t="n">
        <v>180</v>
      </c>
      <c r="AB1061" t="n">
        <v>142</v>
      </c>
      <c r="AC1061" t="n">
        <v>143</v>
      </c>
      <c r="AD1061" t="n">
        <v>2</v>
      </c>
      <c r="AE1061" t="n">
        <v>2</v>
      </c>
      <c r="AF1061" t="n">
        <v>9</v>
      </c>
      <c r="AG1061" t="n">
        <v>9</v>
      </c>
      <c r="AH1061" t="n">
        <v>0</v>
      </c>
      <c r="AI1061" t="n">
        <v>0</v>
      </c>
      <c r="AJ1061" t="n">
        <v>4</v>
      </c>
      <c r="AK1061" t="n">
        <v>4</v>
      </c>
      <c r="AL1061" t="n">
        <v>6</v>
      </c>
      <c r="AM1061" t="n">
        <v>6</v>
      </c>
      <c r="AN1061" t="n">
        <v>1</v>
      </c>
      <c r="AO1061" t="n">
        <v>1</v>
      </c>
      <c r="AP1061" t="n">
        <v>0</v>
      </c>
      <c r="AQ1061" t="n">
        <v>0</v>
      </c>
      <c r="AR1061" t="inlineStr">
        <is>
          <t>No</t>
        </is>
      </c>
      <c r="AS1061" t="inlineStr">
        <is>
          <t>No</t>
        </is>
      </c>
      <c r="AU1061">
        <f>HYPERLINK("https://creighton-primo.hosted.exlibrisgroup.com/primo-explore/search?tab=default_tab&amp;search_scope=EVERYTHING&amp;vid=01CRU&amp;lang=en_US&amp;offset=0&amp;query=any,contains,991001930939702656","Catalog Record")</f>
        <v/>
      </c>
      <c r="AV1061">
        <f>HYPERLINK("http://www.worldcat.org/oclc/24377828","WorldCat Record")</f>
        <v/>
      </c>
      <c r="AW1061" t="inlineStr">
        <is>
          <t>26792734:eng</t>
        </is>
      </c>
      <c r="AX1061" t="inlineStr">
        <is>
          <t>24377828</t>
        </is>
      </c>
      <c r="AY1061" t="inlineStr">
        <is>
          <t>991001930939702656</t>
        </is>
      </c>
      <c r="AZ1061" t="inlineStr">
        <is>
          <t>991001930939702656</t>
        </is>
      </c>
      <c r="BA1061" t="inlineStr">
        <is>
          <t>2265662520002656</t>
        </is>
      </c>
      <c r="BB1061" t="inlineStr">
        <is>
          <t>BOOK</t>
        </is>
      </c>
      <c r="BD1061" t="inlineStr">
        <is>
          <t>9780820417028</t>
        </is>
      </c>
      <c r="BE1061" t="inlineStr">
        <is>
          <t>32285003414322</t>
        </is>
      </c>
      <c r="BF1061" t="inlineStr">
        <is>
          <t>893797950</t>
        </is>
      </c>
    </row>
    <row r="1062">
      <c r="A1062" t="inlineStr">
        <is>
          <t>No</t>
        </is>
      </c>
      <c r="B1062" t="inlineStr">
        <is>
          <t>CURAL</t>
        </is>
      </c>
      <c r="C1062" t="inlineStr">
        <is>
          <t>SHELVES</t>
        </is>
      </c>
      <c r="D1062" t="inlineStr">
        <is>
          <t>PQ7797.B635 Z7955 1993</t>
        </is>
      </c>
      <c r="E1062" t="inlineStr">
        <is>
          <t>0                      PQ 7797000B  635                Z  7955        1993</t>
        </is>
      </c>
      <c r="F1062" t="inlineStr">
        <is>
          <t>El otro Borges : el primer Borges / Rafael Olea Franco.</t>
        </is>
      </c>
      <c r="H1062" t="inlineStr">
        <is>
          <t>No</t>
        </is>
      </c>
      <c r="I1062" t="inlineStr">
        <is>
          <t>1</t>
        </is>
      </c>
      <c r="J1062" t="inlineStr">
        <is>
          <t>No</t>
        </is>
      </c>
      <c r="K1062" t="inlineStr">
        <is>
          <t>No</t>
        </is>
      </c>
      <c r="L1062" t="inlineStr">
        <is>
          <t>0</t>
        </is>
      </c>
      <c r="M1062" t="inlineStr">
        <is>
          <t>Olea Franco, Rafael.</t>
        </is>
      </c>
      <c r="N1062" t="inlineStr">
        <is>
          <t>México, D.F. : Colegio de México, Centro de Estudios Lingüísticos y Literarios ; Buenos Aires : Fondo de Cultura Económica, 1993.</t>
        </is>
      </c>
      <c r="O1062" t="inlineStr">
        <is>
          <t>1993</t>
        </is>
      </c>
      <c r="P1062" t="inlineStr">
        <is>
          <t>1. ed.</t>
        </is>
      </c>
      <c r="Q1062" t="inlineStr">
        <is>
          <t>spa</t>
        </is>
      </c>
      <c r="R1062" t="inlineStr">
        <is>
          <t xml:space="preserve">mx </t>
        </is>
      </c>
      <c r="S1062" t="inlineStr">
        <is>
          <t>Colección Tierra firme</t>
        </is>
      </c>
      <c r="T1062" t="inlineStr">
        <is>
          <t xml:space="preserve">PQ </t>
        </is>
      </c>
      <c r="U1062" t="n">
        <v>4</v>
      </c>
      <c r="V1062" t="n">
        <v>4</v>
      </c>
      <c r="W1062" t="inlineStr">
        <is>
          <t>2001-11-11</t>
        </is>
      </c>
      <c r="X1062" t="inlineStr">
        <is>
          <t>2001-11-11</t>
        </is>
      </c>
      <c r="Y1062" t="inlineStr">
        <is>
          <t>1996-06-24</t>
        </is>
      </c>
      <c r="Z1062" t="inlineStr">
        <is>
          <t>1996-06-24</t>
        </is>
      </c>
      <c r="AA1062" t="n">
        <v>161</v>
      </c>
      <c r="AB1062" t="n">
        <v>120</v>
      </c>
      <c r="AC1062" t="n">
        <v>122</v>
      </c>
      <c r="AD1062" t="n">
        <v>1</v>
      </c>
      <c r="AE1062" t="n">
        <v>1</v>
      </c>
      <c r="AF1062" t="n">
        <v>5</v>
      </c>
      <c r="AG1062" t="n">
        <v>5</v>
      </c>
      <c r="AH1062" t="n">
        <v>1</v>
      </c>
      <c r="AI1062" t="n">
        <v>1</v>
      </c>
      <c r="AJ1062" t="n">
        <v>3</v>
      </c>
      <c r="AK1062" t="n">
        <v>3</v>
      </c>
      <c r="AL1062" t="n">
        <v>4</v>
      </c>
      <c r="AM1062" t="n">
        <v>4</v>
      </c>
      <c r="AN1062" t="n">
        <v>0</v>
      </c>
      <c r="AO1062" t="n">
        <v>0</v>
      </c>
      <c r="AP1062" t="n">
        <v>0</v>
      </c>
      <c r="AQ1062" t="n">
        <v>0</v>
      </c>
      <c r="AR1062" t="inlineStr">
        <is>
          <t>No</t>
        </is>
      </c>
      <c r="AS1062" t="inlineStr">
        <is>
          <t>Yes</t>
        </is>
      </c>
      <c r="AT1062">
        <f>HYPERLINK("http://catalog.hathitrust.org/Record/002860435","HathiTrust Record")</f>
        <v/>
      </c>
      <c r="AU1062">
        <f>HYPERLINK("https://creighton-primo.hosted.exlibrisgroup.com/primo-explore/search?tab=default_tab&amp;search_scope=EVERYTHING&amp;vid=01CRU&amp;lang=en_US&amp;offset=0&amp;query=any,contains,991002432739702656","Catalog Record")</f>
        <v/>
      </c>
      <c r="AV1062">
        <f>HYPERLINK("http://www.worldcat.org/oclc/31712140","WorldCat Record")</f>
        <v/>
      </c>
      <c r="AW1062" t="inlineStr">
        <is>
          <t>365423248:spa</t>
        </is>
      </c>
      <c r="AX1062" t="inlineStr">
        <is>
          <t>31712140</t>
        </is>
      </c>
      <c r="AY1062" t="inlineStr">
        <is>
          <t>991002432739702656</t>
        </is>
      </c>
      <c r="AZ1062" t="inlineStr">
        <is>
          <t>991002432739702656</t>
        </is>
      </c>
      <c r="BA1062" t="inlineStr">
        <is>
          <t>2256237680002656</t>
        </is>
      </c>
      <c r="BB1062" t="inlineStr">
        <is>
          <t>BOOK</t>
        </is>
      </c>
      <c r="BD1062" t="inlineStr">
        <is>
          <t>9789505571871</t>
        </is>
      </c>
      <c r="BE1062" t="inlineStr">
        <is>
          <t>32285002172269</t>
        </is>
      </c>
      <c r="BF1062" t="inlineStr">
        <is>
          <t>893409092</t>
        </is>
      </c>
    </row>
    <row r="1063">
      <c r="A1063" t="inlineStr">
        <is>
          <t>No</t>
        </is>
      </c>
      <c r="B1063" t="inlineStr">
        <is>
          <t>CURAL</t>
        </is>
      </c>
      <c r="C1063" t="inlineStr">
        <is>
          <t>SHELVES</t>
        </is>
      </c>
      <c r="D1063" t="inlineStr">
        <is>
          <t>PQ7797.B635 Z7972 1986</t>
        </is>
      </c>
      <c r="E1063" t="inlineStr">
        <is>
          <t>0                      PQ 7797000B  635                Z  7972        1986</t>
        </is>
      </c>
      <c r="F1063" t="inlineStr">
        <is>
          <t>Poética de la prosa de Jorge Luis Borges : hacia una crítica bakhtiniana de la literatura / Alberto Julián Pérez.</t>
        </is>
      </c>
      <c r="H1063" t="inlineStr">
        <is>
          <t>No</t>
        </is>
      </c>
      <c r="I1063" t="inlineStr">
        <is>
          <t>1</t>
        </is>
      </c>
      <c r="J1063" t="inlineStr">
        <is>
          <t>No</t>
        </is>
      </c>
      <c r="K1063" t="inlineStr">
        <is>
          <t>No</t>
        </is>
      </c>
      <c r="L1063" t="inlineStr">
        <is>
          <t>0</t>
        </is>
      </c>
      <c r="M1063" t="inlineStr">
        <is>
          <t>Pérez, Alberto Julián.</t>
        </is>
      </c>
      <c r="N1063" t="inlineStr">
        <is>
          <t>Madrid : Gredos, c1986.</t>
        </is>
      </c>
      <c r="O1063" t="inlineStr">
        <is>
          <t>1986</t>
        </is>
      </c>
      <c r="Q1063" t="inlineStr">
        <is>
          <t>spa</t>
        </is>
      </c>
      <c r="R1063" t="inlineStr">
        <is>
          <t xml:space="preserve">sp </t>
        </is>
      </c>
      <c r="S1063" t="inlineStr">
        <is>
          <t>Biblioteca románica hispánica. II, Estudios y ensayos ; 353</t>
        </is>
      </c>
      <c r="T1063" t="inlineStr">
        <is>
          <t xml:space="preserve">PQ </t>
        </is>
      </c>
      <c r="U1063" t="n">
        <v>13</v>
      </c>
      <c r="V1063" t="n">
        <v>13</v>
      </c>
      <c r="W1063" t="inlineStr">
        <is>
          <t>2004-10-06</t>
        </is>
      </c>
      <c r="X1063" t="inlineStr">
        <is>
          <t>2004-10-06</t>
        </is>
      </c>
      <c r="Y1063" t="inlineStr">
        <is>
          <t>1994-07-20</t>
        </is>
      </c>
      <c r="Z1063" t="inlineStr">
        <is>
          <t>1994-07-20</t>
        </is>
      </c>
      <c r="AA1063" t="n">
        <v>219</v>
      </c>
      <c r="AB1063" t="n">
        <v>155</v>
      </c>
      <c r="AC1063" t="n">
        <v>163</v>
      </c>
      <c r="AD1063" t="n">
        <v>2</v>
      </c>
      <c r="AE1063" t="n">
        <v>2</v>
      </c>
      <c r="AF1063" t="n">
        <v>6</v>
      </c>
      <c r="AG1063" t="n">
        <v>6</v>
      </c>
      <c r="AH1063" t="n">
        <v>1</v>
      </c>
      <c r="AI1063" t="n">
        <v>1</v>
      </c>
      <c r="AJ1063" t="n">
        <v>2</v>
      </c>
      <c r="AK1063" t="n">
        <v>2</v>
      </c>
      <c r="AL1063" t="n">
        <v>3</v>
      </c>
      <c r="AM1063" t="n">
        <v>3</v>
      </c>
      <c r="AN1063" t="n">
        <v>1</v>
      </c>
      <c r="AO1063" t="n">
        <v>1</v>
      </c>
      <c r="AP1063" t="n">
        <v>0</v>
      </c>
      <c r="AQ1063" t="n">
        <v>0</v>
      </c>
      <c r="AR1063" t="inlineStr">
        <is>
          <t>No</t>
        </is>
      </c>
      <c r="AS1063" t="inlineStr">
        <is>
          <t>Yes</t>
        </is>
      </c>
      <c r="AT1063">
        <f>HYPERLINK("http://catalog.hathitrust.org/Record/000839431","HathiTrust Record")</f>
        <v/>
      </c>
      <c r="AU1063">
        <f>HYPERLINK("https://creighton-primo.hosted.exlibrisgroup.com/primo-explore/search?tab=default_tab&amp;search_scope=EVERYTHING&amp;vid=01CRU&amp;lang=en_US&amp;offset=0&amp;query=any,contains,991001071159702656","Catalog Record")</f>
        <v/>
      </c>
      <c r="AV1063">
        <f>HYPERLINK("http://www.worldcat.org/oclc/15866288","WorldCat Record")</f>
        <v/>
      </c>
      <c r="AW1063" t="inlineStr">
        <is>
          <t>11188721:spa</t>
        </is>
      </c>
      <c r="AX1063" t="inlineStr">
        <is>
          <t>15866288</t>
        </is>
      </c>
      <c r="AY1063" t="inlineStr">
        <is>
          <t>991001071159702656</t>
        </is>
      </c>
      <c r="AZ1063" t="inlineStr">
        <is>
          <t>991001071159702656</t>
        </is>
      </c>
      <c r="BA1063" t="inlineStr">
        <is>
          <t>2267093640002656</t>
        </is>
      </c>
      <c r="BB1063" t="inlineStr">
        <is>
          <t>BOOK</t>
        </is>
      </c>
      <c r="BD1063" t="inlineStr">
        <is>
          <t>9788424910754</t>
        </is>
      </c>
      <c r="BE1063" t="inlineStr">
        <is>
          <t>32285001932358</t>
        </is>
      </c>
      <c r="BF1063" t="inlineStr">
        <is>
          <t>893438842</t>
        </is>
      </c>
    </row>
    <row r="1064">
      <c r="A1064" t="inlineStr">
        <is>
          <t>No</t>
        </is>
      </c>
      <c r="B1064" t="inlineStr">
        <is>
          <t>CURAL</t>
        </is>
      </c>
      <c r="C1064" t="inlineStr">
        <is>
          <t>SHELVES</t>
        </is>
      </c>
      <c r="D1064" t="inlineStr">
        <is>
          <t>PQ7797.B635 Z918</t>
        </is>
      </c>
      <c r="E1064" t="inlineStr">
        <is>
          <t>0                      PQ 7797000B  635                Z  918</t>
        </is>
      </c>
      <c r="F1064" t="inlineStr">
        <is>
          <t>Jorge Luis Borges / by Martin S. Stabb.</t>
        </is>
      </c>
      <c r="H1064" t="inlineStr">
        <is>
          <t>No</t>
        </is>
      </c>
      <c r="I1064" t="inlineStr">
        <is>
          <t>1</t>
        </is>
      </c>
      <c r="J1064" t="inlineStr">
        <is>
          <t>No</t>
        </is>
      </c>
      <c r="K1064" t="inlineStr">
        <is>
          <t>Yes</t>
        </is>
      </c>
      <c r="L1064" t="inlineStr">
        <is>
          <t>0</t>
        </is>
      </c>
      <c r="M1064" t="inlineStr">
        <is>
          <t>Stabb, Martin S.</t>
        </is>
      </c>
      <c r="N1064" t="inlineStr">
        <is>
          <t>New York : Twayne Publishers, [1970]</t>
        </is>
      </c>
      <c r="O1064" t="inlineStr">
        <is>
          <t>1970</t>
        </is>
      </c>
      <c r="Q1064" t="inlineStr">
        <is>
          <t>eng</t>
        </is>
      </c>
      <c r="R1064" t="inlineStr">
        <is>
          <t>nyu</t>
        </is>
      </c>
      <c r="S1064" t="inlineStr">
        <is>
          <t>Twayne's world authors series. TWAS 108. Argentina</t>
        </is>
      </c>
      <c r="T1064" t="inlineStr">
        <is>
          <t xml:space="preserve">PQ </t>
        </is>
      </c>
      <c r="U1064" t="n">
        <v>11</v>
      </c>
      <c r="V1064" t="n">
        <v>11</v>
      </c>
      <c r="W1064" t="inlineStr">
        <is>
          <t>2005-10-13</t>
        </is>
      </c>
      <c r="X1064" t="inlineStr">
        <is>
          <t>2005-10-13</t>
        </is>
      </c>
      <c r="Y1064" t="inlineStr">
        <is>
          <t>1991-08-13</t>
        </is>
      </c>
      <c r="Z1064" t="inlineStr">
        <is>
          <t>1991-08-13</t>
        </is>
      </c>
      <c r="AA1064" t="n">
        <v>1138</v>
      </c>
      <c r="AB1064" t="n">
        <v>1029</v>
      </c>
      <c r="AC1064" t="n">
        <v>1328</v>
      </c>
      <c r="AD1064" t="n">
        <v>6</v>
      </c>
      <c r="AE1064" t="n">
        <v>7</v>
      </c>
      <c r="AF1064" t="n">
        <v>35</v>
      </c>
      <c r="AG1064" t="n">
        <v>46</v>
      </c>
      <c r="AH1064" t="n">
        <v>16</v>
      </c>
      <c r="AI1064" t="n">
        <v>21</v>
      </c>
      <c r="AJ1064" t="n">
        <v>6</v>
      </c>
      <c r="AK1064" t="n">
        <v>9</v>
      </c>
      <c r="AL1064" t="n">
        <v>19</v>
      </c>
      <c r="AM1064" t="n">
        <v>23</v>
      </c>
      <c r="AN1064" t="n">
        <v>4</v>
      </c>
      <c r="AO1064" t="n">
        <v>5</v>
      </c>
      <c r="AP1064" t="n">
        <v>0</v>
      </c>
      <c r="AQ1064" t="n">
        <v>0</v>
      </c>
      <c r="AR1064" t="inlineStr">
        <is>
          <t>No</t>
        </is>
      </c>
      <c r="AS1064" t="inlineStr">
        <is>
          <t>Yes</t>
        </is>
      </c>
      <c r="AT1064">
        <f>HYPERLINK("http://catalog.hathitrust.org/Record/004465731","HathiTrust Record")</f>
        <v/>
      </c>
      <c r="AU1064">
        <f>HYPERLINK("https://creighton-primo.hosted.exlibrisgroup.com/primo-explore/search?tab=default_tab&amp;search_scope=EVERYTHING&amp;vid=01CRU&amp;lang=en_US&amp;offset=0&amp;query=any,contains,991000584199702656","Catalog Record")</f>
        <v/>
      </c>
      <c r="AV1064">
        <f>HYPERLINK("http://www.worldcat.org/oclc/95818","WorldCat Record")</f>
        <v/>
      </c>
      <c r="AW1064" t="inlineStr">
        <is>
          <t>442918:eng</t>
        </is>
      </c>
      <c r="AX1064" t="inlineStr">
        <is>
          <t>95818</t>
        </is>
      </c>
      <c r="AY1064" t="inlineStr">
        <is>
          <t>991000584199702656</t>
        </is>
      </c>
      <c r="AZ1064" t="inlineStr">
        <is>
          <t>991000584199702656</t>
        </is>
      </c>
      <c r="BA1064" t="inlineStr">
        <is>
          <t>2272451630002656</t>
        </is>
      </c>
      <c r="BB1064" t="inlineStr">
        <is>
          <t>BOOK</t>
        </is>
      </c>
      <c r="BE1064" t="inlineStr">
        <is>
          <t>32285000683622</t>
        </is>
      </c>
      <c r="BF1064" t="inlineStr">
        <is>
          <t>893333601</t>
        </is>
      </c>
    </row>
    <row r="1065">
      <c r="A1065" t="inlineStr">
        <is>
          <t>No</t>
        </is>
      </c>
      <c r="B1065" t="inlineStr">
        <is>
          <t>CURAL</t>
        </is>
      </c>
      <c r="C1065" t="inlineStr">
        <is>
          <t>SHELVES</t>
        </is>
      </c>
      <c r="D1065" t="inlineStr">
        <is>
          <t>PQ7797.B635 Z965 1996</t>
        </is>
      </c>
      <c r="E1065" t="inlineStr">
        <is>
          <t>0                      PQ 7797000B  635                Z  965         1996</t>
        </is>
      </c>
      <c r="F1065" t="inlineStr">
        <is>
          <t>Borges : a life / James Woodall.</t>
        </is>
      </c>
      <c r="H1065" t="inlineStr">
        <is>
          <t>No</t>
        </is>
      </c>
      <c r="I1065" t="inlineStr">
        <is>
          <t>1</t>
        </is>
      </c>
      <c r="J1065" t="inlineStr">
        <is>
          <t>No</t>
        </is>
      </c>
      <c r="K1065" t="inlineStr">
        <is>
          <t>No</t>
        </is>
      </c>
      <c r="L1065" t="inlineStr">
        <is>
          <t>0</t>
        </is>
      </c>
      <c r="M1065" t="inlineStr">
        <is>
          <t>Woodall, James, 1960-</t>
        </is>
      </c>
      <c r="N1065" t="inlineStr">
        <is>
          <t>New York : BasicBooks, c1996.</t>
        </is>
      </c>
      <c r="O1065" t="inlineStr">
        <is>
          <t>1996</t>
        </is>
      </c>
      <c r="P1065" t="inlineStr">
        <is>
          <t>1st. U.S. ed.</t>
        </is>
      </c>
      <c r="Q1065" t="inlineStr">
        <is>
          <t>eng</t>
        </is>
      </c>
      <c r="R1065" t="inlineStr">
        <is>
          <t>nyu</t>
        </is>
      </c>
      <c r="T1065" t="inlineStr">
        <is>
          <t xml:space="preserve">PQ </t>
        </is>
      </c>
      <c r="U1065" t="n">
        <v>4</v>
      </c>
      <c r="V1065" t="n">
        <v>4</v>
      </c>
      <c r="W1065" t="inlineStr">
        <is>
          <t>2004-04-06</t>
        </is>
      </c>
      <c r="X1065" t="inlineStr">
        <is>
          <t>2004-04-06</t>
        </is>
      </c>
      <c r="Y1065" t="inlineStr">
        <is>
          <t>1998-06-08</t>
        </is>
      </c>
      <c r="Z1065" t="inlineStr">
        <is>
          <t>1998-06-08</t>
        </is>
      </c>
      <c r="AA1065" t="n">
        <v>404</v>
      </c>
      <c r="AB1065" t="n">
        <v>381</v>
      </c>
      <c r="AC1065" t="n">
        <v>390</v>
      </c>
      <c r="AD1065" t="n">
        <v>5</v>
      </c>
      <c r="AE1065" t="n">
        <v>5</v>
      </c>
      <c r="AF1065" t="n">
        <v>18</v>
      </c>
      <c r="AG1065" t="n">
        <v>18</v>
      </c>
      <c r="AH1065" t="n">
        <v>4</v>
      </c>
      <c r="AI1065" t="n">
        <v>4</v>
      </c>
      <c r="AJ1065" t="n">
        <v>5</v>
      </c>
      <c r="AK1065" t="n">
        <v>5</v>
      </c>
      <c r="AL1065" t="n">
        <v>8</v>
      </c>
      <c r="AM1065" t="n">
        <v>8</v>
      </c>
      <c r="AN1065" t="n">
        <v>4</v>
      </c>
      <c r="AO1065" t="n">
        <v>4</v>
      </c>
      <c r="AP1065" t="n">
        <v>0</v>
      </c>
      <c r="AQ1065" t="n">
        <v>0</v>
      </c>
      <c r="AR1065" t="inlineStr">
        <is>
          <t>No</t>
        </is>
      </c>
      <c r="AS1065" t="inlineStr">
        <is>
          <t>Yes</t>
        </is>
      </c>
      <c r="AT1065">
        <f>HYPERLINK("http://catalog.hathitrust.org/Record/003942160","HathiTrust Record")</f>
        <v/>
      </c>
      <c r="AU1065">
        <f>HYPERLINK("https://creighton-primo.hosted.exlibrisgroup.com/primo-explore/search?tab=default_tab&amp;search_scope=EVERYTHING&amp;vid=01CRU&amp;lang=en_US&amp;offset=0&amp;query=any,contains,991002729359702656","Catalog Record")</f>
        <v/>
      </c>
      <c r="AV1065">
        <f>HYPERLINK("http://www.worldcat.org/oclc/35792375","WorldCat Record")</f>
        <v/>
      </c>
      <c r="AW1065" t="inlineStr">
        <is>
          <t>3943622870:eng</t>
        </is>
      </c>
      <c r="AX1065" t="inlineStr">
        <is>
          <t>35792375</t>
        </is>
      </c>
      <c r="AY1065" t="inlineStr">
        <is>
          <t>991002729359702656</t>
        </is>
      </c>
      <c r="AZ1065" t="inlineStr">
        <is>
          <t>991002729359702656</t>
        </is>
      </c>
      <c r="BA1065" t="inlineStr">
        <is>
          <t>2260888120002656</t>
        </is>
      </c>
      <c r="BB1065" t="inlineStr">
        <is>
          <t>BOOK</t>
        </is>
      </c>
      <c r="BD1065" t="inlineStr">
        <is>
          <t>9780465043613</t>
        </is>
      </c>
      <c r="BE1065" t="inlineStr">
        <is>
          <t>32285003413258</t>
        </is>
      </c>
      <c r="BF1065" t="inlineStr">
        <is>
          <t>893798935</t>
        </is>
      </c>
    </row>
    <row r="1066">
      <c r="A1066" t="inlineStr">
        <is>
          <t>No</t>
        </is>
      </c>
      <c r="B1066" t="inlineStr">
        <is>
          <t>CURAL</t>
        </is>
      </c>
      <c r="C1066" t="inlineStr">
        <is>
          <t>SHELVES</t>
        </is>
      </c>
      <c r="D1066" t="inlineStr">
        <is>
          <t>PQ7797.B873 C7 1997</t>
        </is>
      </c>
      <c r="E1066" t="inlineStr">
        <is>
          <t>0                      PQ 7797000B  873                C  7           1997</t>
        </is>
      </c>
      <c r="F1066" t="inlineStr">
        <is>
          <t>Crónicas de Bustos Domenq / Jorge Luis Borges [y] Adolfo Bioy Casares.</t>
        </is>
      </c>
      <c r="H1066" t="inlineStr">
        <is>
          <t>No</t>
        </is>
      </c>
      <c r="I1066" t="inlineStr">
        <is>
          <t>1</t>
        </is>
      </c>
      <c r="J1066" t="inlineStr">
        <is>
          <t>No</t>
        </is>
      </c>
      <c r="K1066" t="inlineStr">
        <is>
          <t>Yes</t>
        </is>
      </c>
      <c r="L1066" t="inlineStr">
        <is>
          <t>0</t>
        </is>
      </c>
      <c r="M1066" t="inlineStr">
        <is>
          <t>Borges, Jorge Luis, 1899-1986.</t>
        </is>
      </c>
      <c r="N1066" t="inlineStr">
        <is>
          <t>Buenos Aires : Editorial Losada, 1997.</t>
        </is>
      </c>
      <c r="O1066" t="inlineStr">
        <is>
          <t>1997</t>
        </is>
      </c>
      <c r="Q1066" t="inlineStr">
        <is>
          <t>spa</t>
        </is>
      </c>
      <c r="R1066" t="inlineStr">
        <is>
          <t xml:space="preserve">ag </t>
        </is>
      </c>
      <c r="S1066" t="inlineStr">
        <is>
          <t>Biblioteca clásica y contemporánea</t>
        </is>
      </c>
      <c r="T1066" t="inlineStr">
        <is>
          <t xml:space="preserve">PQ </t>
        </is>
      </c>
      <c r="U1066" t="n">
        <v>2</v>
      </c>
      <c r="V1066" t="n">
        <v>2</v>
      </c>
      <c r="W1066" t="inlineStr">
        <is>
          <t>2003-02-04</t>
        </is>
      </c>
      <c r="X1066" t="inlineStr">
        <is>
          <t>2003-02-04</t>
        </is>
      </c>
      <c r="Y1066" t="inlineStr">
        <is>
          <t>2003-02-04</t>
        </is>
      </c>
      <c r="Z1066" t="inlineStr">
        <is>
          <t>2003-02-04</t>
        </is>
      </c>
      <c r="AA1066" t="n">
        <v>14</v>
      </c>
      <c r="AB1066" t="n">
        <v>8</v>
      </c>
      <c r="AC1066" t="n">
        <v>225</v>
      </c>
      <c r="AD1066" t="n">
        <v>1</v>
      </c>
      <c r="AE1066" t="n">
        <v>2</v>
      </c>
      <c r="AF1066" t="n">
        <v>0</v>
      </c>
      <c r="AG1066" t="n">
        <v>8</v>
      </c>
      <c r="AH1066" t="n">
        <v>0</v>
      </c>
      <c r="AI1066" t="n">
        <v>1</v>
      </c>
      <c r="AJ1066" t="n">
        <v>0</v>
      </c>
      <c r="AK1066" t="n">
        <v>5</v>
      </c>
      <c r="AL1066" t="n">
        <v>0</v>
      </c>
      <c r="AM1066" t="n">
        <v>3</v>
      </c>
      <c r="AN1066" t="n">
        <v>0</v>
      </c>
      <c r="AO1066" t="n">
        <v>1</v>
      </c>
      <c r="AP1066" t="n">
        <v>0</v>
      </c>
      <c r="AQ1066" t="n">
        <v>0</v>
      </c>
      <c r="AR1066" t="inlineStr">
        <is>
          <t>No</t>
        </is>
      </c>
      <c r="AS1066" t="inlineStr">
        <is>
          <t>No</t>
        </is>
      </c>
      <c r="AU1066">
        <f>HYPERLINK("https://creighton-primo.hosted.exlibrisgroup.com/primo-explore/search?tab=default_tab&amp;search_scope=EVERYTHING&amp;vid=01CRU&amp;lang=en_US&amp;offset=0&amp;query=any,contains,991003924789702656","Catalog Record")</f>
        <v/>
      </c>
      <c r="AV1066">
        <f>HYPERLINK("http://www.worldcat.org/oclc/42018020","WorldCat Record")</f>
        <v/>
      </c>
      <c r="AW1066" t="inlineStr">
        <is>
          <t>51583205:spa</t>
        </is>
      </c>
      <c r="AX1066" t="inlineStr">
        <is>
          <t>42018020</t>
        </is>
      </c>
      <c r="AY1066" t="inlineStr">
        <is>
          <t>991003924789702656</t>
        </is>
      </c>
      <c r="AZ1066" t="inlineStr">
        <is>
          <t>991003924789702656</t>
        </is>
      </c>
      <c r="BA1066" t="inlineStr">
        <is>
          <t>2269172360002656</t>
        </is>
      </c>
      <c r="BB1066" t="inlineStr">
        <is>
          <t>BOOK</t>
        </is>
      </c>
      <c r="BD1066" t="inlineStr">
        <is>
          <t>9789500362382</t>
        </is>
      </c>
      <c r="BE1066" t="inlineStr">
        <is>
          <t>32285004697008</t>
        </is>
      </c>
      <c r="BF1066" t="inlineStr">
        <is>
          <t>893512571</t>
        </is>
      </c>
    </row>
    <row r="1067">
      <c r="A1067" t="inlineStr">
        <is>
          <t>No</t>
        </is>
      </c>
      <c r="B1067" t="inlineStr">
        <is>
          <t>CURAL</t>
        </is>
      </c>
      <c r="C1067" t="inlineStr">
        <is>
          <t>SHELVES</t>
        </is>
      </c>
      <c r="D1067" t="inlineStr">
        <is>
          <t>PQ7797.C7145 Z717</t>
        </is>
      </c>
      <c r="E1067" t="inlineStr">
        <is>
          <t>0                      PQ 7797000C  7145               Z  717</t>
        </is>
      </c>
      <c r="F1067" t="inlineStr">
        <is>
          <t>Julio Cortázar / edición de Pedro Lastra.</t>
        </is>
      </c>
      <c r="H1067" t="inlineStr">
        <is>
          <t>No</t>
        </is>
      </c>
      <c r="I1067" t="inlineStr">
        <is>
          <t>1</t>
        </is>
      </c>
      <c r="J1067" t="inlineStr">
        <is>
          <t>No</t>
        </is>
      </c>
      <c r="K1067" t="inlineStr">
        <is>
          <t>Yes</t>
        </is>
      </c>
      <c r="L1067" t="inlineStr">
        <is>
          <t>0</t>
        </is>
      </c>
      <c r="N1067" t="inlineStr">
        <is>
          <t>Madrid : Taurus, c1981.</t>
        </is>
      </c>
      <c r="O1067" t="inlineStr">
        <is>
          <t>1981</t>
        </is>
      </c>
      <c r="Q1067" t="inlineStr">
        <is>
          <t>spa</t>
        </is>
      </c>
      <c r="R1067" t="inlineStr">
        <is>
          <t xml:space="preserve">sp </t>
        </is>
      </c>
      <c r="S1067" t="inlineStr">
        <is>
          <t>Persiles ; 126. Serie El Escritor y la crítica</t>
        </is>
      </c>
      <c r="T1067" t="inlineStr">
        <is>
          <t xml:space="preserve">PQ </t>
        </is>
      </c>
      <c r="U1067" t="n">
        <v>2</v>
      </c>
      <c r="V1067" t="n">
        <v>2</v>
      </c>
      <c r="W1067" t="inlineStr">
        <is>
          <t>2009-11-12</t>
        </is>
      </c>
      <c r="X1067" t="inlineStr">
        <is>
          <t>2009-11-12</t>
        </is>
      </c>
      <c r="Y1067" t="inlineStr">
        <is>
          <t>1991-08-13</t>
        </is>
      </c>
      <c r="Z1067" t="inlineStr">
        <is>
          <t>1991-08-13</t>
        </is>
      </c>
      <c r="AA1067" t="n">
        <v>314</v>
      </c>
      <c r="AB1067" t="n">
        <v>234</v>
      </c>
      <c r="AC1067" t="n">
        <v>410</v>
      </c>
      <c r="AD1067" t="n">
        <v>2</v>
      </c>
      <c r="AE1067" t="n">
        <v>2</v>
      </c>
      <c r="AF1067" t="n">
        <v>12</v>
      </c>
      <c r="AG1067" t="n">
        <v>17</v>
      </c>
      <c r="AH1067" t="n">
        <v>4</v>
      </c>
      <c r="AI1067" t="n">
        <v>6</v>
      </c>
      <c r="AJ1067" t="n">
        <v>4</v>
      </c>
      <c r="AK1067" t="n">
        <v>7</v>
      </c>
      <c r="AL1067" t="n">
        <v>7</v>
      </c>
      <c r="AM1067" t="n">
        <v>10</v>
      </c>
      <c r="AN1067" t="n">
        <v>1</v>
      </c>
      <c r="AO1067" t="n">
        <v>1</v>
      </c>
      <c r="AP1067" t="n">
        <v>0</v>
      </c>
      <c r="AQ1067" t="n">
        <v>0</v>
      </c>
      <c r="AR1067" t="inlineStr">
        <is>
          <t>No</t>
        </is>
      </c>
      <c r="AS1067" t="inlineStr">
        <is>
          <t>Yes</t>
        </is>
      </c>
      <c r="AT1067">
        <f>HYPERLINK("http://catalog.hathitrust.org/Record/000148742","HathiTrust Record")</f>
        <v/>
      </c>
      <c r="AU1067">
        <f>HYPERLINK("https://creighton-primo.hosted.exlibrisgroup.com/primo-explore/search?tab=default_tab&amp;search_scope=EVERYTHING&amp;vid=01CRU&amp;lang=en_US&amp;offset=0&amp;query=any,contains,991005198779702656","Catalog Record")</f>
        <v/>
      </c>
      <c r="AV1067">
        <f>HYPERLINK("http://www.worldcat.org/oclc/8054101","WorldCat Record")</f>
        <v/>
      </c>
      <c r="AW1067" t="inlineStr">
        <is>
          <t>196472260:spa</t>
        </is>
      </c>
      <c r="AX1067" t="inlineStr">
        <is>
          <t>8054101</t>
        </is>
      </c>
      <c r="AY1067" t="inlineStr">
        <is>
          <t>991005198779702656</t>
        </is>
      </c>
      <c r="AZ1067" t="inlineStr">
        <is>
          <t>991005198779702656</t>
        </is>
      </c>
      <c r="BA1067" t="inlineStr">
        <is>
          <t>2257982610002656</t>
        </is>
      </c>
      <c r="BB1067" t="inlineStr">
        <is>
          <t>BOOK</t>
        </is>
      </c>
      <c r="BD1067" t="inlineStr">
        <is>
          <t>9788430621262</t>
        </is>
      </c>
      <c r="BE1067" t="inlineStr">
        <is>
          <t>32285000683713</t>
        </is>
      </c>
      <c r="BF1067" t="inlineStr">
        <is>
          <t>893520619</t>
        </is>
      </c>
    </row>
    <row r="1068">
      <c r="A1068" t="inlineStr">
        <is>
          <t>No</t>
        </is>
      </c>
      <c r="B1068" t="inlineStr">
        <is>
          <t>CURAL</t>
        </is>
      </c>
      <c r="C1068" t="inlineStr">
        <is>
          <t>SHELVES</t>
        </is>
      </c>
      <c r="D1068" t="inlineStr">
        <is>
          <t>PQ7797.G253 D5 1979</t>
        </is>
      </c>
      <c r="E1068" t="inlineStr">
        <is>
          <t>0                      PQ 7797000G  253                D  5           1979</t>
        </is>
      </c>
      <c r="F1068" t="inlineStr">
        <is>
          <t>Dios no nos quiere contentos / Griselda Gambaro.</t>
        </is>
      </c>
      <c r="H1068" t="inlineStr">
        <is>
          <t>No</t>
        </is>
      </c>
      <c r="I1068" t="inlineStr">
        <is>
          <t>1</t>
        </is>
      </c>
      <c r="J1068" t="inlineStr">
        <is>
          <t>No</t>
        </is>
      </c>
      <c r="K1068" t="inlineStr">
        <is>
          <t>No</t>
        </is>
      </c>
      <c r="L1068" t="inlineStr">
        <is>
          <t>0</t>
        </is>
      </c>
      <c r="M1068" t="inlineStr">
        <is>
          <t>Gambaro, Griselda.</t>
        </is>
      </c>
      <c r="N1068" t="inlineStr">
        <is>
          <t>Barcelona : Lumen, 1979.</t>
        </is>
      </c>
      <c r="O1068" t="inlineStr">
        <is>
          <t>1979</t>
        </is>
      </c>
      <c r="P1068" t="inlineStr">
        <is>
          <t>1. ed.</t>
        </is>
      </c>
      <c r="Q1068" t="inlineStr">
        <is>
          <t>spa</t>
        </is>
      </c>
      <c r="R1068" t="inlineStr">
        <is>
          <t xml:space="preserve">sp </t>
        </is>
      </c>
      <c r="S1068" t="inlineStr">
        <is>
          <t>Palabra menor ; 54</t>
        </is>
      </c>
      <c r="T1068" t="inlineStr">
        <is>
          <t xml:space="preserve">PQ </t>
        </is>
      </c>
      <c r="U1068" t="n">
        <v>1</v>
      </c>
      <c r="V1068" t="n">
        <v>1</v>
      </c>
      <c r="W1068" t="inlineStr">
        <is>
          <t>2003-04-01</t>
        </is>
      </c>
      <c r="X1068" t="inlineStr">
        <is>
          <t>2003-04-01</t>
        </is>
      </c>
      <c r="Y1068" t="inlineStr">
        <is>
          <t>2003-04-01</t>
        </is>
      </c>
      <c r="Z1068" t="inlineStr">
        <is>
          <t>2003-04-01</t>
        </is>
      </c>
      <c r="AA1068" t="n">
        <v>98</v>
      </c>
      <c r="AB1068" t="n">
        <v>76</v>
      </c>
      <c r="AC1068" t="n">
        <v>103</v>
      </c>
      <c r="AD1068" t="n">
        <v>2</v>
      </c>
      <c r="AE1068" t="n">
        <v>2</v>
      </c>
      <c r="AF1068" t="n">
        <v>4</v>
      </c>
      <c r="AG1068" t="n">
        <v>4</v>
      </c>
      <c r="AH1068" t="n">
        <v>2</v>
      </c>
      <c r="AI1068" t="n">
        <v>2</v>
      </c>
      <c r="AJ1068" t="n">
        <v>1</v>
      </c>
      <c r="AK1068" t="n">
        <v>1</v>
      </c>
      <c r="AL1068" t="n">
        <v>1</v>
      </c>
      <c r="AM1068" t="n">
        <v>1</v>
      </c>
      <c r="AN1068" t="n">
        <v>1</v>
      </c>
      <c r="AO1068" t="n">
        <v>1</v>
      </c>
      <c r="AP1068" t="n">
        <v>0</v>
      </c>
      <c r="AQ1068" t="n">
        <v>0</v>
      </c>
      <c r="AR1068" t="inlineStr">
        <is>
          <t>No</t>
        </is>
      </c>
      <c r="AS1068" t="inlineStr">
        <is>
          <t>Yes</t>
        </is>
      </c>
      <c r="AT1068">
        <f>HYPERLINK("http://catalog.hathitrust.org/Record/000710469","HathiTrust Record")</f>
        <v/>
      </c>
      <c r="AU1068">
        <f>HYPERLINK("https://creighton-primo.hosted.exlibrisgroup.com/primo-explore/search?tab=default_tab&amp;search_scope=EVERYTHING&amp;vid=01CRU&amp;lang=en_US&amp;offset=0&amp;query=any,contains,991004028589702656","Catalog Record")</f>
        <v/>
      </c>
      <c r="AV1068">
        <f>HYPERLINK("http://www.worldcat.org/oclc/5942662","WorldCat Record")</f>
        <v/>
      </c>
      <c r="AW1068" t="inlineStr">
        <is>
          <t>10537423:spa</t>
        </is>
      </c>
      <c r="AX1068" t="inlineStr">
        <is>
          <t>5942662</t>
        </is>
      </c>
      <c r="AY1068" t="inlineStr">
        <is>
          <t>991004028589702656</t>
        </is>
      </c>
      <c r="AZ1068" t="inlineStr">
        <is>
          <t>991004028589702656</t>
        </is>
      </c>
      <c r="BA1068" t="inlineStr">
        <is>
          <t>2270612760002656</t>
        </is>
      </c>
      <c r="BB1068" t="inlineStr">
        <is>
          <t>BOOK</t>
        </is>
      </c>
      <c r="BD1068" t="inlineStr">
        <is>
          <t>9788426429544</t>
        </is>
      </c>
      <c r="BE1068" t="inlineStr">
        <is>
          <t>32285004688460</t>
        </is>
      </c>
      <c r="BF1068" t="inlineStr">
        <is>
          <t>893512704</t>
        </is>
      </c>
    </row>
    <row r="1069">
      <c r="A1069" t="inlineStr">
        <is>
          <t>No</t>
        </is>
      </c>
      <c r="B1069" t="inlineStr">
        <is>
          <t>CURAL</t>
        </is>
      </c>
      <c r="C1069" t="inlineStr">
        <is>
          <t>SHELVES</t>
        </is>
      </c>
      <c r="D1069" t="inlineStr">
        <is>
          <t>PQ7797.G253 G3 2002</t>
        </is>
      </c>
      <c r="E1069" t="inlineStr">
        <is>
          <t>0                      PQ 7797000G  253                G  3           2002</t>
        </is>
      </c>
      <c r="F1069" t="inlineStr">
        <is>
          <t>Ganarse la muerte / Griselda Gambaro.</t>
        </is>
      </c>
      <c r="H1069" t="inlineStr">
        <is>
          <t>No</t>
        </is>
      </c>
      <c r="I1069" t="inlineStr">
        <is>
          <t>1</t>
        </is>
      </c>
      <c r="J1069" t="inlineStr">
        <is>
          <t>No</t>
        </is>
      </c>
      <c r="K1069" t="inlineStr">
        <is>
          <t>No</t>
        </is>
      </c>
      <c r="L1069" t="inlineStr">
        <is>
          <t>0</t>
        </is>
      </c>
      <c r="M1069" t="inlineStr">
        <is>
          <t>Gambaro, Griselda.</t>
        </is>
      </c>
      <c r="N1069" t="inlineStr">
        <is>
          <t>Buenos Aires, República Argentina : Grupo Editorial Norma, 2002.</t>
        </is>
      </c>
      <c r="O1069" t="inlineStr">
        <is>
          <t>2002</t>
        </is>
      </c>
      <c r="P1069" t="inlineStr">
        <is>
          <t>1. ed.</t>
        </is>
      </c>
      <c r="Q1069" t="inlineStr">
        <is>
          <t>spa</t>
        </is>
      </c>
      <c r="R1069" t="inlineStr">
        <is>
          <t xml:space="preserve">ag </t>
        </is>
      </c>
      <c r="S1069" t="inlineStr">
        <is>
          <t>Colección La otra orilla</t>
        </is>
      </c>
      <c r="T1069" t="inlineStr">
        <is>
          <t xml:space="preserve">PQ </t>
        </is>
      </c>
      <c r="U1069" t="n">
        <v>2</v>
      </c>
      <c r="V1069" t="n">
        <v>2</v>
      </c>
      <c r="W1069" t="inlineStr">
        <is>
          <t>2003-04-16</t>
        </is>
      </c>
      <c r="X1069" t="inlineStr">
        <is>
          <t>2003-04-16</t>
        </is>
      </c>
      <c r="Y1069" t="inlineStr">
        <is>
          <t>2003-04-16</t>
        </is>
      </c>
      <c r="Z1069" t="inlineStr">
        <is>
          <t>2003-04-16</t>
        </is>
      </c>
      <c r="AA1069" t="n">
        <v>83</v>
      </c>
      <c r="AB1069" t="n">
        <v>73</v>
      </c>
      <c r="AC1069" t="n">
        <v>132</v>
      </c>
      <c r="AD1069" t="n">
        <v>2</v>
      </c>
      <c r="AE1069" t="n">
        <v>2</v>
      </c>
      <c r="AF1069" t="n">
        <v>3</v>
      </c>
      <c r="AG1069" t="n">
        <v>3</v>
      </c>
      <c r="AH1069" t="n">
        <v>1</v>
      </c>
      <c r="AI1069" t="n">
        <v>1</v>
      </c>
      <c r="AJ1069" t="n">
        <v>1</v>
      </c>
      <c r="AK1069" t="n">
        <v>1</v>
      </c>
      <c r="AL1069" t="n">
        <v>1</v>
      </c>
      <c r="AM1069" t="n">
        <v>1</v>
      </c>
      <c r="AN1069" t="n">
        <v>1</v>
      </c>
      <c r="AO1069" t="n">
        <v>1</v>
      </c>
      <c r="AP1069" t="n">
        <v>0</v>
      </c>
      <c r="AQ1069" t="n">
        <v>0</v>
      </c>
      <c r="AR1069" t="inlineStr">
        <is>
          <t>No</t>
        </is>
      </c>
      <c r="AS1069" t="inlineStr">
        <is>
          <t>No</t>
        </is>
      </c>
      <c r="AU1069">
        <f>HYPERLINK("https://creighton-primo.hosted.exlibrisgroup.com/primo-explore/search?tab=default_tab&amp;search_scope=EVERYTHING&amp;vid=01CRU&amp;lang=en_US&amp;offset=0&amp;query=any,contains,991004022789702656","Catalog Record")</f>
        <v/>
      </c>
      <c r="AV1069">
        <f>HYPERLINK("http://www.worldcat.org/oclc/49859678","WorldCat Record")</f>
        <v/>
      </c>
      <c r="AW1069" t="inlineStr">
        <is>
          <t>7344991:spa</t>
        </is>
      </c>
      <c r="AX1069" t="inlineStr">
        <is>
          <t>49859678</t>
        </is>
      </c>
      <c r="AY1069" t="inlineStr">
        <is>
          <t>991004022789702656</t>
        </is>
      </c>
      <c r="AZ1069" t="inlineStr">
        <is>
          <t>991004022789702656</t>
        </is>
      </c>
      <c r="BA1069" t="inlineStr">
        <is>
          <t>2262238980002656</t>
        </is>
      </c>
      <c r="BB1069" t="inlineStr">
        <is>
          <t>BOOK</t>
        </is>
      </c>
      <c r="BD1069" t="inlineStr">
        <is>
          <t>9789875450479</t>
        </is>
      </c>
      <c r="BE1069" t="inlineStr">
        <is>
          <t>32285004742713</t>
        </is>
      </c>
      <c r="BF1069" t="inlineStr">
        <is>
          <t>893429563</t>
        </is>
      </c>
    </row>
    <row r="1070">
      <c r="A1070" t="inlineStr">
        <is>
          <t>No</t>
        </is>
      </c>
      <c r="B1070" t="inlineStr">
        <is>
          <t>CURAL</t>
        </is>
      </c>
      <c r="C1070" t="inlineStr">
        <is>
          <t>SHELVES</t>
        </is>
      </c>
      <c r="D1070" t="inlineStr">
        <is>
          <t>PQ7797.G599 A6 1991</t>
        </is>
      </c>
      <c r="E1070" t="inlineStr">
        <is>
          <t>0                      PQ 7797000G  599                A  6           1991</t>
        </is>
      </c>
      <c r="F1070" t="inlineStr">
        <is>
          <t>Teatro / Carlos Gorostiza.</t>
        </is>
      </c>
      <c r="G1070" t="inlineStr">
        <is>
          <t>V.3</t>
        </is>
      </c>
      <c r="H1070" t="inlineStr">
        <is>
          <t>Yes</t>
        </is>
      </c>
      <c r="I1070" t="inlineStr">
        <is>
          <t>1</t>
        </is>
      </c>
      <c r="J1070" t="inlineStr">
        <is>
          <t>No</t>
        </is>
      </c>
      <c r="K1070" t="inlineStr">
        <is>
          <t>No</t>
        </is>
      </c>
      <c r="L1070" t="inlineStr">
        <is>
          <t>0</t>
        </is>
      </c>
      <c r="M1070" t="inlineStr">
        <is>
          <t>Gorostiza, Carlos.</t>
        </is>
      </c>
      <c r="N1070" t="inlineStr">
        <is>
          <t>Buenos Aires, República Argentina : Ediciones de la Flor, c1991-</t>
        </is>
      </c>
      <c r="O1070" t="inlineStr">
        <is>
          <t>1991</t>
        </is>
      </c>
      <c r="Q1070" t="inlineStr">
        <is>
          <t>spa</t>
        </is>
      </c>
      <c r="R1070" t="inlineStr">
        <is>
          <t xml:space="preserve">ag </t>
        </is>
      </c>
      <c r="T1070" t="inlineStr">
        <is>
          <t xml:space="preserve">PQ </t>
        </is>
      </c>
      <c r="U1070" t="n">
        <v>1</v>
      </c>
      <c r="V1070" t="n">
        <v>5</v>
      </c>
      <c r="X1070" t="inlineStr">
        <is>
          <t>2003-04-22</t>
        </is>
      </c>
      <c r="Y1070" t="inlineStr">
        <is>
          <t>1997-03-05</t>
        </is>
      </c>
      <c r="Z1070" t="inlineStr">
        <is>
          <t>1997-03-05</t>
        </is>
      </c>
      <c r="AA1070" t="n">
        <v>116</v>
      </c>
      <c r="AB1070" t="n">
        <v>97</v>
      </c>
      <c r="AC1070" t="n">
        <v>99</v>
      </c>
      <c r="AD1070" t="n">
        <v>1</v>
      </c>
      <c r="AE1070" t="n">
        <v>1</v>
      </c>
      <c r="AF1070" t="n">
        <v>6</v>
      </c>
      <c r="AG1070" t="n">
        <v>6</v>
      </c>
      <c r="AH1070" t="n">
        <v>3</v>
      </c>
      <c r="AI1070" t="n">
        <v>3</v>
      </c>
      <c r="AJ1070" t="n">
        <v>2</v>
      </c>
      <c r="AK1070" t="n">
        <v>2</v>
      </c>
      <c r="AL1070" t="n">
        <v>3</v>
      </c>
      <c r="AM1070" t="n">
        <v>3</v>
      </c>
      <c r="AN1070" t="n">
        <v>0</v>
      </c>
      <c r="AO1070" t="n">
        <v>0</v>
      </c>
      <c r="AP1070" t="n">
        <v>0</v>
      </c>
      <c r="AQ1070" t="n">
        <v>0</v>
      </c>
      <c r="AR1070" t="inlineStr">
        <is>
          <t>No</t>
        </is>
      </c>
      <c r="AS1070" t="inlineStr">
        <is>
          <t>Yes</t>
        </is>
      </c>
      <c r="AT1070">
        <f>HYPERLINK("http://catalog.hathitrust.org/Record/004033469","HathiTrust Record")</f>
        <v/>
      </c>
      <c r="AU1070">
        <f>HYPERLINK("https://creighton-primo.hosted.exlibrisgroup.com/primo-explore/search?tab=default_tab&amp;search_scope=EVERYTHING&amp;vid=01CRU&amp;lang=en_US&amp;offset=0&amp;query=any,contains,991001941849702656","Catalog Record")</f>
        <v/>
      </c>
      <c r="AV1070">
        <f>HYPERLINK("http://www.worldcat.org/oclc/24540441","WorldCat Record")</f>
        <v/>
      </c>
      <c r="AW1070" t="inlineStr">
        <is>
          <t>197774146:spa</t>
        </is>
      </c>
      <c r="AX1070" t="inlineStr">
        <is>
          <t>24540441</t>
        </is>
      </c>
      <c r="AY1070" t="inlineStr">
        <is>
          <t>991001941849702656</t>
        </is>
      </c>
      <c r="AZ1070" t="inlineStr">
        <is>
          <t>991001941849702656</t>
        </is>
      </c>
      <c r="BA1070" t="inlineStr">
        <is>
          <t>2260691150002656</t>
        </is>
      </c>
      <c r="BB1070" t="inlineStr">
        <is>
          <t>BOOK</t>
        </is>
      </c>
      <c r="BD1070" t="inlineStr">
        <is>
          <t>9789505154135</t>
        </is>
      </c>
      <c r="BE1070" t="inlineStr">
        <is>
          <t>32285002440195</t>
        </is>
      </c>
      <c r="BF1070" t="inlineStr">
        <is>
          <t>893709684</t>
        </is>
      </c>
    </row>
    <row r="1071">
      <c r="A1071" t="inlineStr">
        <is>
          <t>No</t>
        </is>
      </c>
      <c r="B1071" t="inlineStr">
        <is>
          <t>CURAL</t>
        </is>
      </c>
      <c r="C1071" t="inlineStr">
        <is>
          <t>SHELVES</t>
        </is>
      </c>
      <c r="D1071" t="inlineStr">
        <is>
          <t>PQ7797.G599 A6 1991</t>
        </is>
      </c>
      <c r="E1071" t="inlineStr">
        <is>
          <t>0                      PQ 7797000G  599                A  6           1991</t>
        </is>
      </c>
      <c r="F1071" t="inlineStr">
        <is>
          <t>Teatro / Carlos Gorostiza.</t>
        </is>
      </c>
      <c r="G1071" t="inlineStr">
        <is>
          <t>V.2</t>
        </is>
      </c>
      <c r="H1071" t="inlineStr">
        <is>
          <t>Yes</t>
        </is>
      </c>
      <c r="I1071" t="inlineStr">
        <is>
          <t>1</t>
        </is>
      </c>
      <c r="J1071" t="inlineStr">
        <is>
          <t>No</t>
        </is>
      </c>
      <c r="K1071" t="inlineStr">
        <is>
          <t>No</t>
        </is>
      </c>
      <c r="L1071" t="inlineStr">
        <is>
          <t>0</t>
        </is>
      </c>
      <c r="M1071" t="inlineStr">
        <is>
          <t>Gorostiza, Carlos.</t>
        </is>
      </c>
      <c r="N1071" t="inlineStr">
        <is>
          <t>Buenos Aires, República Argentina : Ediciones de la Flor, c1991-</t>
        </is>
      </c>
      <c r="O1071" t="inlineStr">
        <is>
          <t>1991</t>
        </is>
      </c>
      <c r="Q1071" t="inlineStr">
        <is>
          <t>spa</t>
        </is>
      </c>
      <c r="R1071" t="inlineStr">
        <is>
          <t xml:space="preserve">ag </t>
        </is>
      </c>
      <c r="T1071" t="inlineStr">
        <is>
          <t xml:space="preserve">PQ </t>
        </is>
      </c>
      <c r="U1071" t="n">
        <v>2</v>
      </c>
      <c r="V1071" t="n">
        <v>5</v>
      </c>
      <c r="W1071" t="inlineStr">
        <is>
          <t>2003-04-22</t>
        </is>
      </c>
      <c r="X1071" t="inlineStr">
        <is>
          <t>2003-04-22</t>
        </is>
      </c>
      <c r="Y1071" t="inlineStr">
        <is>
          <t>1994-10-24</t>
        </is>
      </c>
      <c r="Z1071" t="inlineStr">
        <is>
          <t>1997-03-05</t>
        </is>
      </c>
      <c r="AA1071" t="n">
        <v>116</v>
      </c>
      <c r="AB1071" t="n">
        <v>97</v>
      </c>
      <c r="AC1071" t="n">
        <v>99</v>
      </c>
      <c r="AD1071" t="n">
        <v>1</v>
      </c>
      <c r="AE1071" t="n">
        <v>1</v>
      </c>
      <c r="AF1071" t="n">
        <v>6</v>
      </c>
      <c r="AG1071" t="n">
        <v>6</v>
      </c>
      <c r="AH1071" t="n">
        <v>3</v>
      </c>
      <c r="AI1071" t="n">
        <v>3</v>
      </c>
      <c r="AJ1071" t="n">
        <v>2</v>
      </c>
      <c r="AK1071" t="n">
        <v>2</v>
      </c>
      <c r="AL1071" t="n">
        <v>3</v>
      </c>
      <c r="AM1071" t="n">
        <v>3</v>
      </c>
      <c r="AN1071" t="n">
        <v>0</v>
      </c>
      <c r="AO1071" t="n">
        <v>0</v>
      </c>
      <c r="AP1071" t="n">
        <v>0</v>
      </c>
      <c r="AQ1071" t="n">
        <v>0</v>
      </c>
      <c r="AR1071" t="inlineStr">
        <is>
          <t>No</t>
        </is>
      </c>
      <c r="AS1071" t="inlineStr">
        <is>
          <t>Yes</t>
        </is>
      </c>
      <c r="AT1071">
        <f>HYPERLINK("http://catalog.hathitrust.org/Record/004033469","HathiTrust Record")</f>
        <v/>
      </c>
      <c r="AU1071">
        <f>HYPERLINK("https://creighton-primo.hosted.exlibrisgroup.com/primo-explore/search?tab=default_tab&amp;search_scope=EVERYTHING&amp;vid=01CRU&amp;lang=en_US&amp;offset=0&amp;query=any,contains,991001941849702656","Catalog Record")</f>
        <v/>
      </c>
      <c r="AV1071">
        <f>HYPERLINK("http://www.worldcat.org/oclc/24540441","WorldCat Record")</f>
        <v/>
      </c>
      <c r="AW1071" t="inlineStr">
        <is>
          <t>197774146:spa</t>
        </is>
      </c>
      <c r="AX1071" t="inlineStr">
        <is>
          <t>24540441</t>
        </is>
      </c>
      <c r="AY1071" t="inlineStr">
        <is>
          <t>991001941849702656</t>
        </is>
      </c>
      <c r="AZ1071" t="inlineStr">
        <is>
          <t>991001941849702656</t>
        </is>
      </c>
      <c r="BA1071" t="inlineStr">
        <is>
          <t>2260691150002656</t>
        </is>
      </c>
      <c r="BB1071" t="inlineStr">
        <is>
          <t>BOOK</t>
        </is>
      </c>
      <c r="BD1071" t="inlineStr">
        <is>
          <t>9789505154135</t>
        </is>
      </c>
      <c r="BE1071" t="inlineStr">
        <is>
          <t>32285001963023</t>
        </is>
      </c>
      <c r="BF1071" t="inlineStr">
        <is>
          <t>893684783</t>
        </is>
      </c>
    </row>
    <row r="1072">
      <c r="A1072" t="inlineStr">
        <is>
          <t>No</t>
        </is>
      </c>
      <c r="B1072" t="inlineStr">
        <is>
          <t>CURAL</t>
        </is>
      </c>
      <c r="C1072" t="inlineStr">
        <is>
          <t>SHELVES</t>
        </is>
      </c>
      <c r="D1072" t="inlineStr">
        <is>
          <t>PQ7797.G599 A6 1991</t>
        </is>
      </c>
      <c r="E1072" t="inlineStr">
        <is>
          <t>0                      PQ 7797000G  599                A  6           1991</t>
        </is>
      </c>
      <c r="F1072" t="inlineStr">
        <is>
          <t>Teatro / Carlos Gorostiza.</t>
        </is>
      </c>
      <c r="G1072" t="inlineStr">
        <is>
          <t>V.1</t>
        </is>
      </c>
      <c r="H1072" t="inlineStr">
        <is>
          <t>Yes</t>
        </is>
      </c>
      <c r="I1072" t="inlineStr">
        <is>
          <t>1</t>
        </is>
      </c>
      <c r="J1072" t="inlineStr">
        <is>
          <t>No</t>
        </is>
      </c>
      <c r="K1072" t="inlineStr">
        <is>
          <t>No</t>
        </is>
      </c>
      <c r="L1072" t="inlineStr">
        <is>
          <t>0</t>
        </is>
      </c>
      <c r="M1072" t="inlineStr">
        <is>
          <t>Gorostiza, Carlos.</t>
        </is>
      </c>
      <c r="N1072" t="inlineStr">
        <is>
          <t>Buenos Aires, República Argentina : Ediciones de la Flor, c1991-</t>
        </is>
      </c>
      <c r="O1072" t="inlineStr">
        <is>
          <t>1991</t>
        </is>
      </c>
      <c r="Q1072" t="inlineStr">
        <is>
          <t>spa</t>
        </is>
      </c>
      <c r="R1072" t="inlineStr">
        <is>
          <t xml:space="preserve">ag </t>
        </is>
      </c>
      <c r="T1072" t="inlineStr">
        <is>
          <t xml:space="preserve">PQ </t>
        </is>
      </c>
      <c r="U1072" t="n">
        <v>2</v>
      </c>
      <c r="V1072" t="n">
        <v>5</v>
      </c>
      <c r="W1072" t="inlineStr">
        <is>
          <t>2003-04-22</t>
        </is>
      </c>
      <c r="X1072" t="inlineStr">
        <is>
          <t>2003-04-22</t>
        </is>
      </c>
      <c r="Y1072" t="inlineStr">
        <is>
          <t>1994-05-09</t>
        </is>
      </c>
      <c r="Z1072" t="inlineStr">
        <is>
          <t>1997-03-05</t>
        </is>
      </c>
      <c r="AA1072" t="n">
        <v>116</v>
      </c>
      <c r="AB1072" t="n">
        <v>97</v>
      </c>
      <c r="AC1072" t="n">
        <v>99</v>
      </c>
      <c r="AD1072" t="n">
        <v>1</v>
      </c>
      <c r="AE1072" t="n">
        <v>1</v>
      </c>
      <c r="AF1072" t="n">
        <v>6</v>
      </c>
      <c r="AG1072" t="n">
        <v>6</v>
      </c>
      <c r="AH1072" t="n">
        <v>3</v>
      </c>
      <c r="AI1072" t="n">
        <v>3</v>
      </c>
      <c r="AJ1072" t="n">
        <v>2</v>
      </c>
      <c r="AK1072" t="n">
        <v>2</v>
      </c>
      <c r="AL1072" t="n">
        <v>3</v>
      </c>
      <c r="AM1072" t="n">
        <v>3</v>
      </c>
      <c r="AN1072" t="n">
        <v>0</v>
      </c>
      <c r="AO1072" t="n">
        <v>0</v>
      </c>
      <c r="AP1072" t="n">
        <v>0</v>
      </c>
      <c r="AQ1072" t="n">
        <v>0</v>
      </c>
      <c r="AR1072" t="inlineStr">
        <is>
          <t>No</t>
        </is>
      </c>
      <c r="AS1072" t="inlineStr">
        <is>
          <t>Yes</t>
        </is>
      </c>
      <c r="AT1072">
        <f>HYPERLINK("http://catalog.hathitrust.org/Record/004033469","HathiTrust Record")</f>
        <v/>
      </c>
      <c r="AU1072">
        <f>HYPERLINK("https://creighton-primo.hosted.exlibrisgroup.com/primo-explore/search?tab=default_tab&amp;search_scope=EVERYTHING&amp;vid=01CRU&amp;lang=en_US&amp;offset=0&amp;query=any,contains,991001941849702656","Catalog Record")</f>
        <v/>
      </c>
      <c r="AV1072">
        <f>HYPERLINK("http://www.worldcat.org/oclc/24540441","WorldCat Record")</f>
        <v/>
      </c>
      <c r="AW1072" t="inlineStr">
        <is>
          <t>197774146:spa</t>
        </is>
      </c>
      <c r="AX1072" t="inlineStr">
        <is>
          <t>24540441</t>
        </is>
      </c>
      <c r="AY1072" t="inlineStr">
        <is>
          <t>991001941849702656</t>
        </is>
      </c>
      <c r="AZ1072" t="inlineStr">
        <is>
          <t>991001941849702656</t>
        </is>
      </c>
      <c r="BA1072" t="inlineStr">
        <is>
          <t>2260691150002656</t>
        </is>
      </c>
      <c r="BB1072" t="inlineStr">
        <is>
          <t>BOOK</t>
        </is>
      </c>
      <c r="BD1072" t="inlineStr">
        <is>
          <t>9789505154135</t>
        </is>
      </c>
      <c r="BE1072" t="inlineStr">
        <is>
          <t>32285001879625</t>
        </is>
      </c>
      <c r="BF1072" t="inlineStr">
        <is>
          <t>893709685</t>
        </is>
      </c>
    </row>
    <row r="1073">
      <c r="A1073" t="inlineStr">
        <is>
          <t>No</t>
        </is>
      </c>
      <c r="B1073" t="inlineStr">
        <is>
          <t>CURAL</t>
        </is>
      </c>
      <c r="C1073" t="inlineStr">
        <is>
          <t>SHELVES</t>
        </is>
      </c>
      <c r="D1073" t="inlineStr">
        <is>
          <t>PQ7797.L88 C3 1958</t>
        </is>
      </c>
      <c r="E1073" t="inlineStr">
        <is>
          <t>0                      PQ 7797000L  88                 C  3           1958</t>
        </is>
      </c>
      <c r="F1073" t="inlineStr">
        <is>
          <t>Los caranchos de La Florida / Benito Lynch.</t>
        </is>
      </c>
      <c r="H1073" t="inlineStr">
        <is>
          <t>No</t>
        </is>
      </c>
      <c r="I1073" t="inlineStr">
        <is>
          <t>1</t>
        </is>
      </c>
      <c r="J1073" t="inlineStr">
        <is>
          <t>No</t>
        </is>
      </c>
      <c r="K1073" t="inlineStr">
        <is>
          <t>No</t>
        </is>
      </c>
      <c r="L1073" t="inlineStr">
        <is>
          <t>0</t>
        </is>
      </c>
      <c r="M1073" t="inlineStr">
        <is>
          <t>Lynch, Benito, 1880-1951.</t>
        </is>
      </c>
      <c r="N1073" t="inlineStr">
        <is>
          <t>Buenos Aires : Ediciones Troquel, 1958.</t>
        </is>
      </c>
      <c r="O1073" t="inlineStr">
        <is>
          <t>1958</t>
        </is>
      </c>
      <c r="P1073" t="inlineStr">
        <is>
          <t>5a ed.</t>
        </is>
      </c>
      <c r="Q1073" t="inlineStr">
        <is>
          <t>spa</t>
        </is>
      </c>
      <c r="R1073" t="inlineStr">
        <is>
          <t xml:space="preserve">ag </t>
        </is>
      </c>
      <c r="T1073" t="inlineStr">
        <is>
          <t xml:space="preserve">PQ </t>
        </is>
      </c>
      <c r="U1073" t="n">
        <v>2</v>
      </c>
      <c r="V1073" t="n">
        <v>2</v>
      </c>
      <c r="W1073" t="inlineStr">
        <is>
          <t>2001-11-29</t>
        </is>
      </c>
      <c r="X1073" t="inlineStr">
        <is>
          <t>2001-11-29</t>
        </is>
      </c>
      <c r="Y1073" t="inlineStr">
        <is>
          <t>1997-08-06</t>
        </is>
      </c>
      <c r="Z1073" t="inlineStr">
        <is>
          <t>1997-08-06</t>
        </is>
      </c>
      <c r="AA1073" t="n">
        <v>155</v>
      </c>
      <c r="AB1073" t="n">
        <v>124</v>
      </c>
      <c r="AC1073" t="n">
        <v>339</v>
      </c>
      <c r="AD1073" t="n">
        <v>1</v>
      </c>
      <c r="AE1073" t="n">
        <v>3</v>
      </c>
      <c r="AF1073" t="n">
        <v>8</v>
      </c>
      <c r="AG1073" t="n">
        <v>14</v>
      </c>
      <c r="AH1073" t="n">
        <v>3</v>
      </c>
      <c r="AI1073" t="n">
        <v>5</v>
      </c>
      <c r="AJ1073" t="n">
        <v>3</v>
      </c>
      <c r="AK1073" t="n">
        <v>4</v>
      </c>
      <c r="AL1073" t="n">
        <v>5</v>
      </c>
      <c r="AM1073" t="n">
        <v>7</v>
      </c>
      <c r="AN1073" t="n">
        <v>0</v>
      </c>
      <c r="AO1073" t="n">
        <v>2</v>
      </c>
      <c r="AP1073" t="n">
        <v>0</v>
      </c>
      <c r="AQ1073" t="n">
        <v>0</v>
      </c>
      <c r="AR1073" t="inlineStr">
        <is>
          <t>No</t>
        </is>
      </c>
      <c r="AS1073" t="inlineStr">
        <is>
          <t>Yes</t>
        </is>
      </c>
      <c r="AT1073">
        <f>HYPERLINK("http://catalog.hathitrust.org/Record/009102810","HathiTrust Record")</f>
        <v/>
      </c>
      <c r="AU1073">
        <f>HYPERLINK("https://creighton-primo.hosted.exlibrisgroup.com/primo-explore/search?tab=default_tab&amp;search_scope=EVERYTHING&amp;vid=01CRU&amp;lang=en_US&amp;offset=0&amp;query=any,contains,991000317609702656","Catalog Record")</f>
        <v/>
      </c>
      <c r="AV1073">
        <f>HYPERLINK("http://www.worldcat.org/oclc/10124018","WorldCat Record")</f>
        <v/>
      </c>
      <c r="AW1073" t="inlineStr">
        <is>
          <t>350489744:spa</t>
        </is>
      </c>
      <c r="AX1073" t="inlineStr">
        <is>
          <t>10124018</t>
        </is>
      </c>
      <c r="AY1073" t="inlineStr">
        <is>
          <t>991000317609702656</t>
        </is>
      </c>
      <c r="AZ1073" t="inlineStr">
        <is>
          <t>991000317609702656</t>
        </is>
      </c>
      <c r="BA1073" t="inlineStr">
        <is>
          <t>2270745870002656</t>
        </is>
      </c>
      <c r="BB1073" t="inlineStr">
        <is>
          <t>BOOK</t>
        </is>
      </c>
      <c r="BE1073" t="inlineStr">
        <is>
          <t>32285003060661</t>
        </is>
      </c>
      <c r="BF1073" t="inlineStr">
        <is>
          <t>893714488</t>
        </is>
      </c>
    </row>
    <row r="1074">
      <c r="A1074" t="inlineStr">
        <is>
          <t>No</t>
        </is>
      </c>
      <c r="B1074" t="inlineStr">
        <is>
          <t>CURAL</t>
        </is>
      </c>
      <c r="C1074" t="inlineStr">
        <is>
          <t>SHELVES</t>
        </is>
      </c>
      <c r="D1074" t="inlineStr">
        <is>
          <t>PQ7797.M74 U5 1983</t>
        </is>
      </c>
      <c r="E1074" t="inlineStr">
        <is>
          <t>0                      PQ 7797000M  74                 U  5           1983</t>
        </is>
      </c>
      <c r="F1074" t="inlineStr">
        <is>
          <t>El unicornio / Manuel Mujica Láinez.</t>
        </is>
      </c>
      <c r="H1074" t="inlineStr">
        <is>
          <t>No</t>
        </is>
      </c>
      <c r="I1074" t="inlineStr">
        <is>
          <t>1</t>
        </is>
      </c>
      <c r="J1074" t="inlineStr">
        <is>
          <t>No</t>
        </is>
      </c>
      <c r="K1074" t="inlineStr">
        <is>
          <t>No</t>
        </is>
      </c>
      <c r="L1074" t="inlineStr">
        <is>
          <t>0</t>
        </is>
      </c>
      <c r="M1074" t="inlineStr">
        <is>
          <t>Mujica Láinez, Manuel, 1910-1984.</t>
        </is>
      </c>
      <c r="N1074" t="inlineStr">
        <is>
          <t>[Barcelona] : Seix Barral, 1983.</t>
        </is>
      </c>
      <c r="O1074" t="inlineStr">
        <is>
          <t>1983</t>
        </is>
      </c>
      <c r="P1074" t="inlineStr">
        <is>
          <t>1a ed. en Biblioteca breve.</t>
        </is>
      </c>
      <c r="Q1074" t="inlineStr">
        <is>
          <t>spa</t>
        </is>
      </c>
      <c r="R1074" t="inlineStr">
        <is>
          <t xml:space="preserve">sp </t>
        </is>
      </c>
      <c r="S1074" t="inlineStr">
        <is>
          <t>Biblioteca breve ; 638</t>
        </is>
      </c>
      <c r="T1074" t="inlineStr">
        <is>
          <t xml:space="preserve">PQ </t>
        </is>
      </c>
      <c r="U1074" t="n">
        <v>1</v>
      </c>
      <c r="V1074" t="n">
        <v>1</v>
      </c>
      <c r="W1074" t="inlineStr">
        <is>
          <t>2005-04-06</t>
        </is>
      </c>
      <c r="X1074" t="inlineStr">
        <is>
          <t>2005-04-06</t>
        </is>
      </c>
      <c r="Y1074" t="inlineStr">
        <is>
          <t>2005-04-06</t>
        </is>
      </c>
      <c r="Z1074" t="inlineStr">
        <is>
          <t>2005-04-06</t>
        </is>
      </c>
      <c r="AA1074" t="n">
        <v>56</v>
      </c>
      <c r="AB1074" t="n">
        <v>52</v>
      </c>
      <c r="AC1074" t="n">
        <v>219</v>
      </c>
      <c r="AD1074" t="n">
        <v>1</v>
      </c>
      <c r="AE1074" t="n">
        <v>3</v>
      </c>
      <c r="AF1074" t="n">
        <v>3</v>
      </c>
      <c r="AG1074" t="n">
        <v>10</v>
      </c>
      <c r="AH1074" t="n">
        <v>1</v>
      </c>
      <c r="AI1074" t="n">
        <v>1</v>
      </c>
      <c r="AJ1074" t="n">
        <v>2</v>
      </c>
      <c r="AK1074" t="n">
        <v>5</v>
      </c>
      <c r="AL1074" t="n">
        <v>2</v>
      </c>
      <c r="AM1074" t="n">
        <v>6</v>
      </c>
      <c r="AN1074" t="n">
        <v>0</v>
      </c>
      <c r="AO1074" t="n">
        <v>2</v>
      </c>
      <c r="AP1074" t="n">
        <v>0</v>
      </c>
      <c r="AQ1074" t="n">
        <v>0</v>
      </c>
      <c r="AR1074" t="inlineStr">
        <is>
          <t>No</t>
        </is>
      </c>
      <c r="AS1074" t="inlineStr">
        <is>
          <t>Yes</t>
        </is>
      </c>
      <c r="AT1074">
        <f>HYPERLINK("http://catalog.hathitrust.org/Record/000208476","HathiTrust Record")</f>
        <v/>
      </c>
      <c r="AU1074">
        <f>HYPERLINK("https://creighton-primo.hosted.exlibrisgroup.com/primo-explore/search?tab=default_tab&amp;search_scope=EVERYTHING&amp;vid=01CRU&amp;lang=en_US&amp;offset=0&amp;query=any,contains,991004522399702656","Catalog Record")</f>
        <v/>
      </c>
      <c r="AV1074">
        <f>HYPERLINK("http://www.worldcat.org/oclc/11339580","WorldCat Record")</f>
        <v/>
      </c>
      <c r="AW1074" t="inlineStr">
        <is>
          <t>58006653:spa</t>
        </is>
      </c>
      <c r="AX1074" t="inlineStr">
        <is>
          <t>11339580</t>
        </is>
      </c>
      <c r="AY1074" t="inlineStr">
        <is>
          <t>991004522399702656</t>
        </is>
      </c>
      <c r="AZ1074" t="inlineStr">
        <is>
          <t>991004522399702656</t>
        </is>
      </c>
      <c r="BA1074" t="inlineStr">
        <is>
          <t>2267846180002656</t>
        </is>
      </c>
      <c r="BB1074" t="inlineStr">
        <is>
          <t>BOOK</t>
        </is>
      </c>
      <c r="BD1074" t="inlineStr">
        <is>
          <t>9788432204876</t>
        </is>
      </c>
      <c r="BE1074" t="inlineStr">
        <is>
          <t>32285005048094</t>
        </is>
      </c>
      <c r="BF1074" t="inlineStr">
        <is>
          <t>893722479</t>
        </is>
      </c>
    </row>
    <row r="1075">
      <c r="A1075" t="inlineStr">
        <is>
          <t>No</t>
        </is>
      </c>
      <c r="B1075" t="inlineStr">
        <is>
          <t>CURAL</t>
        </is>
      </c>
      <c r="C1075" t="inlineStr">
        <is>
          <t>SHELVES</t>
        </is>
      </c>
      <c r="D1075" t="inlineStr">
        <is>
          <t>PQ7797.O6715 N6 1983</t>
        </is>
      </c>
      <c r="E1075" t="inlineStr">
        <is>
          <t>0                      PQ 7797000O  6715               N  6           1983</t>
        </is>
      </c>
      <c r="F1075" t="inlineStr">
        <is>
          <t>La noche a la deriva / Olga Orozco.</t>
        </is>
      </c>
      <c r="H1075" t="inlineStr">
        <is>
          <t>No</t>
        </is>
      </c>
      <c r="I1075" t="inlineStr">
        <is>
          <t>1</t>
        </is>
      </c>
      <c r="J1075" t="inlineStr">
        <is>
          <t>No</t>
        </is>
      </c>
      <c r="K1075" t="inlineStr">
        <is>
          <t>No</t>
        </is>
      </c>
      <c r="L1075" t="inlineStr">
        <is>
          <t>0</t>
        </is>
      </c>
      <c r="M1075" t="inlineStr">
        <is>
          <t>Orozco, Olga.</t>
        </is>
      </c>
      <c r="N1075" t="inlineStr">
        <is>
          <t>México : Fondo de Cultura Económica, 1983.</t>
        </is>
      </c>
      <c r="O1075" t="inlineStr">
        <is>
          <t>1983</t>
        </is>
      </c>
      <c r="P1075" t="inlineStr">
        <is>
          <t>1a ed.</t>
        </is>
      </c>
      <c r="Q1075" t="inlineStr">
        <is>
          <t>spa</t>
        </is>
      </c>
      <c r="R1075" t="inlineStr">
        <is>
          <t xml:space="preserve">mx </t>
        </is>
      </c>
      <c r="S1075" t="inlineStr">
        <is>
          <t>Colección Tierra firme</t>
        </is>
      </c>
      <c r="T1075" t="inlineStr">
        <is>
          <t xml:space="preserve">PQ </t>
        </is>
      </c>
      <c r="U1075" t="n">
        <v>1</v>
      </c>
      <c r="V1075" t="n">
        <v>1</v>
      </c>
      <c r="W1075" t="inlineStr">
        <is>
          <t>2001-12-10</t>
        </is>
      </c>
      <c r="X1075" t="inlineStr">
        <is>
          <t>2001-12-10</t>
        </is>
      </c>
      <c r="Y1075" t="inlineStr">
        <is>
          <t>2001-12-10</t>
        </is>
      </c>
      <c r="Z1075" t="inlineStr">
        <is>
          <t>2001-12-10</t>
        </is>
      </c>
      <c r="AA1075" t="n">
        <v>64</v>
      </c>
      <c r="AB1075" t="n">
        <v>53</v>
      </c>
      <c r="AC1075" t="n">
        <v>56</v>
      </c>
      <c r="AD1075" t="n">
        <v>1</v>
      </c>
      <c r="AE1075" t="n">
        <v>1</v>
      </c>
      <c r="AF1075" t="n">
        <v>2</v>
      </c>
      <c r="AG1075" t="n">
        <v>2</v>
      </c>
      <c r="AH1075" t="n">
        <v>0</v>
      </c>
      <c r="AI1075" t="n">
        <v>0</v>
      </c>
      <c r="AJ1075" t="n">
        <v>1</v>
      </c>
      <c r="AK1075" t="n">
        <v>1</v>
      </c>
      <c r="AL1075" t="n">
        <v>1</v>
      </c>
      <c r="AM1075" t="n">
        <v>1</v>
      </c>
      <c r="AN1075" t="n">
        <v>0</v>
      </c>
      <c r="AO1075" t="n">
        <v>0</v>
      </c>
      <c r="AP1075" t="n">
        <v>0</v>
      </c>
      <c r="AQ1075" t="n">
        <v>0</v>
      </c>
      <c r="AR1075" t="inlineStr">
        <is>
          <t>No</t>
        </is>
      </c>
      <c r="AS1075" t="inlineStr">
        <is>
          <t>No</t>
        </is>
      </c>
      <c r="AU1075">
        <f>HYPERLINK("https://creighton-primo.hosted.exlibrisgroup.com/primo-explore/search?tab=default_tab&amp;search_scope=EVERYTHING&amp;vid=01CRU&amp;lang=en_US&amp;offset=0&amp;query=any,contains,991003693209702656","Catalog Record")</f>
        <v/>
      </c>
      <c r="AV1075">
        <f>HYPERLINK("http://www.worldcat.org/oclc/10862943","WorldCat Record")</f>
        <v/>
      </c>
      <c r="AW1075" t="inlineStr">
        <is>
          <t>13312182:spa</t>
        </is>
      </c>
      <c r="AX1075" t="inlineStr">
        <is>
          <t>10862943</t>
        </is>
      </c>
      <c r="AY1075" t="inlineStr">
        <is>
          <t>991003693209702656</t>
        </is>
      </c>
      <c r="AZ1075" t="inlineStr">
        <is>
          <t>991003693209702656</t>
        </is>
      </c>
      <c r="BA1075" t="inlineStr">
        <is>
          <t>2270507040002656</t>
        </is>
      </c>
      <c r="BB1075" t="inlineStr">
        <is>
          <t>BOOK</t>
        </is>
      </c>
      <c r="BD1075" t="inlineStr">
        <is>
          <t>9789681615154</t>
        </is>
      </c>
      <c r="BE1075" t="inlineStr">
        <is>
          <t>32285004426937</t>
        </is>
      </c>
      <c r="BF1075" t="inlineStr">
        <is>
          <t>893410571</t>
        </is>
      </c>
    </row>
    <row r="1076">
      <c r="A1076" t="inlineStr">
        <is>
          <t>No</t>
        </is>
      </c>
      <c r="B1076" t="inlineStr">
        <is>
          <t>CURAL</t>
        </is>
      </c>
      <c r="C1076" t="inlineStr">
        <is>
          <t>SHELVES</t>
        </is>
      </c>
      <c r="D1076" t="inlineStr">
        <is>
          <t>PQ7797.P576 A6 1982</t>
        </is>
      </c>
      <c r="E1076" t="inlineStr">
        <is>
          <t>0                      PQ 7797000P  576                A  6           1982</t>
        </is>
      </c>
      <c r="F1076" t="inlineStr">
        <is>
          <t>Textos de sombra y últimos poemas / Alejandra Pizarnik.</t>
        </is>
      </c>
      <c r="H1076" t="inlineStr">
        <is>
          <t>No</t>
        </is>
      </c>
      <c r="I1076" t="inlineStr">
        <is>
          <t>1</t>
        </is>
      </c>
      <c r="J1076" t="inlineStr">
        <is>
          <t>No</t>
        </is>
      </c>
      <c r="K1076" t="inlineStr">
        <is>
          <t>No</t>
        </is>
      </c>
      <c r="L1076" t="inlineStr">
        <is>
          <t>0</t>
        </is>
      </c>
      <c r="M1076" t="inlineStr">
        <is>
          <t>Pizarnik, Alejandra, 1936-1972.</t>
        </is>
      </c>
      <c r="N1076" t="inlineStr">
        <is>
          <t>Buenos Aires : Editorial Sudamericana, c1982.</t>
        </is>
      </c>
      <c r="O1076" t="inlineStr">
        <is>
          <t>1982</t>
        </is>
      </c>
      <c r="Q1076" t="inlineStr">
        <is>
          <t>spa</t>
        </is>
      </c>
      <c r="R1076" t="inlineStr">
        <is>
          <t xml:space="preserve">ag </t>
        </is>
      </c>
      <c r="T1076" t="inlineStr">
        <is>
          <t xml:space="preserve">PQ </t>
        </is>
      </c>
      <c r="U1076" t="n">
        <v>1</v>
      </c>
      <c r="V1076" t="n">
        <v>1</v>
      </c>
      <c r="W1076" t="inlineStr">
        <is>
          <t>2002-05-17</t>
        </is>
      </c>
      <c r="X1076" t="inlineStr">
        <is>
          <t>2002-05-17</t>
        </is>
      </c>
      <c r="Y1076" t="inlineStr">
        <is>
          <t>2002-05-09</t>
        </is>
      </c>
      <c r="Z1076" t="inlineStr">
        <is>
          <t>2002-05-09</t>
        </is>
      </c>
      <c r="AA1076" t="n">
        <v>66</v>
      </c>
      <c r="AB1076" t="n">
        <v>55</v>
      </c>
      <c r="AC1076" t="n">
        <v>71</v>
      </c>
      <c r="AD1076" t="n">
        <v>1</v>
      </c>
      <c r="AE1076" t="n">
        <v>1</v>
      </c>
      <c r="AF1076" t="n">
        <v>1</v>
      </c>
      <c r="AG1076" t="n">
        <v>3</v>
      </c>
      <c r="AH1076" t="n">
        <v>0</v>
      </c>
      <c r="AI1076" t="n">
        <v>0</v>
      </c>
      <c r="AJ1076" t="n">
        <v>1</v>
      </c>
      <c r="AK1076" t="n">
        <v>3</v>
      </c>
      <c r="AL1076" t="n">
        <v>0</v>
      </c>
      <c r="AM1076" t="n">
        <v>0</v>
      </c>
      <c r="AN1076" t="n">
        <v>0</v>
      </c>
      <c r="AO1076" t="n">
        <v>0</v>
      </c>
      <c r="AP1076" t="n">
        <v>0</v>
      </c>
      <c r="AQ1076" t="n">
        <v>0</v>
      </c>
      <c r="AR1076" t="inlineStr">
        <is>
          <t>No</t>
        </is>
      </c>
      <c r="AS1076" t="inlineStr">
        <is>
          <t>Yes</t>
        </is>
      </c>
      <c r="AT1076">
        <f>HYPERLINK("http://catalog.hathitrust.org/Record/002198475","HathiTrust Record")</f>
        <v/>
      </c>
      <c r="AU1076">
        <f>HYPERLINK("https://creighton-primo.hosted.exlibrisgroup.com/primo-explore/search?tab=default_tab&amp;search_scope=EVERYTHING&amp;vid=01CRU&amp;lang=en_US&amp;offset=0&amp;query=any,contains,991003808479702656","Catalog Record")</f>
        <v/>
      </c>
      <c r="AV1076">
        <f>HYPERLINK("http://www.worldcat.org/oclc/10101031","WorldCat Record")</f>
        <v/>
      </c>
      <c r="AW1076" t="inlineStr">
        <is>
          <t>2853432:spa</t>
        </is>
      </c>
      <c r="AX1076" t="inlineStr">
        <is>
          <t>10101031</t>
        </is>
      </c>
      <c r="AY1076" t="inlineStr">
        <is>
          <t>991003808479702656</t>
        </is>
      </c>
      <c r="AZ1076" t="inlineStr">
        <is>
          <t>991003808479702656</t>
        </is>
      </c>
      <c r="BA1076" t="inlineStr">
        <is>
          <t>2256805530002656</t>
        </is>
      </c>
      <c r="BB1076" t="inlineStr">
        <is>
          <t>BOOK</t>
        </is>
      </c>
      <c r="BD1076" t="inlineStr">
        <is>
          <t>9789500700580</t>
        </is>
      </c>
      <c r="BE1076" t="inlineStr">
        <is>
          <t>32285004487541</t>
        </is>
      </c>
      <c r="BF1076" t="inlineStr">
        <is>
          <t>893324512</t>
        </is>
      </c>
    </row>
    <row r="1077">
      <c r="A1077" t="inlineStr">
        <is>
          <t>No</t>
        </is>
      </c>
      <c r="B1077" t="inlineStr">
        <is>
          <t>CURAL</t>
        </is>
      </c>
      <c r="C1077" t="inlineStr">
        <is>
          <t>SHELVES</t>
        </is>
      </c>
      <c r="D1077" t="inlineStr">
        <is>
          <t>PQ7797.P576 A6 1992</t>
        </is>
      </c>
      <c r="E1077" t="inlineStr">
        <is>
          <t>0                      PQ 7797000P  576                A  6           1992</t>
        </is>
      </c>
      <c r="F1077" t="inlineStr">
        <is>
          <t>Semblanza / Alejandra Pizarnik ; introducción y compilación, Frank Graziano.</t>
        </is>
      </c>
      <c r="H1077" t="inlineStr">
        <is>
          <t>No</t>
        </is>
      </c>
      <c r="I1077" t="inlineStr">
        <is>
          <t>1</t>
        </is>
      </c>
      <c r="J1077" t="inlineStr">
        <is>
          <t>No</t>
        </is>
      </c>
      <c r="K1077" t="inlineStr">
        <is>
          <t>No</t>
        </is>
      </c>
      <c r="L1077" t="inlineStr">
        <is>
          <t>0</t>
        </is>
      </c>
      <c r="M1077" t="inlineStr">
        <is>
          <t>Pizarnik, Alejandra, 1936-1972.</t>
        </is>
      </c>
      <c r="N1077" t="inlineStr">
        <is>
          <t>México : Fondo de Cultura Económica, 1992.</t>
        </is>
      </c>
      <c r="O1077" t="inlineStr">
        <is>
          <t>1992</t>
        </is>
      </c>
      <c r="P1077" t="inlineStr">
        <is>
          <t>1. ed.</t>
        </is>
      </c>
      <c r="Q1077" t="inlineStr">
        <is>
          <t>spa</t>
        </is>
      </c>
      <c r="R1077" t="inlineStr">
        <is>
          <t xml:space="preserve">mx </t>
        </is>
      </c>
      <c r="S1077" t="inlineStr">
        <is>
          <t>Colección Tierra firme</t>
        </is>
      </c>
      <c r="T1077" t="inlineStr">
        <is>
          <t xml:space="preserve">PQ </t>
        </is>
      </c>
      <c r="U1077" t="n">
        <v>1</v>
      </c>
      <c r="V1077" t="n">
        <v>1</v>
      </c>
      <c r="W1077" t="inlineStr">
        <is>
          <t>2001-12-12</t>
        </is>
      </c>
      <c r="X1077" t="inlineStr">
        <is>
          <t>2001-12-12</t>
        </is>
      </c>
      <c r="Y1077" t="inlineStr">
        <is>
          <t>2001-12-11</t>
        </is>
      </c>
      <c r="Z1077" t="inlineStr">
        <is>
          <t>2001-12-11</t>
        </is>
      </c>
      <c r="AA1077" t="n">
        <v>79</v>
      </c>
      <c r="AB1077" t="n">
        <v>67</v>
      </c>
      <c r="AC1077" t="n">
        <v>67</v>
      </c>
      <c r="AD1077" t="n">
        <v>2</v>
      </c>
      <c r="AE1077" t="n">
        <v>2</v>
      </c>
      <c r="AF1077" t="n">
        <v>3</v>
      </c>
      <c r="AG1077" t="n">
        <v>3</v>
      </c>
      <c r="AH1077" t="n">
        <v>0</v>
      </c>
      <c r="AI1077" t="n">
        <v>0</v>
      </c>
      <c r="AJ1077" t="n">
        <v>2</v>
      </c>
      <c r="AK1077" t="n">
        <v>2</v>
      </c>
      <c r="AL1077" t="n">
        <v>1</v>
      </c>
      <c r="AM1077" t="n">
        <v>1</v>
      </c>
      <c r="AN1077" t="n">
        <v>1</v>
      </c>
      <c r="AO1077" t="n">
        <v>1</v>
      </c>
      <c r="AP1077" t="n">
        <v>0</v>
      </c>
      <c r="AQ1077" t="n">
        <v>0</v>
      </c>
      <c r="AR1077" t="inlineStr">
        <is>
          <t>No</t>
        </is>
      </c>
      <c r="AS1077" t="inlineStr">
        <is>
          <t>No</t>
        </is>
      </c>
      <c r="AU1077">
        <f>HYPERLINK("https://creighton-primo.hosted.exlibrisgroup.com/primo-explore/search?tab=default_tab&amp;search_scope=EVERYTHING&amp;vid=01CRU&amp;lang=en_US&amp;offset=0&amp;query=any,contains,991003694919702656","Catalog Record")</f>
        <v/>
      </c>
      <c r="AV1077">
        <f>HYPERLINK("http://www.worldcat.org/oclc/29915382","WorldCat Record")</f>
        <v/>
      </c>
      <c r="AW1077" t="inlineStr">
        <is>
          <t>31951857:spa</t>
        </is>
      </c>
      <c r="AX1077" t="inlineStr">
        <is>
          <t>29915382</t>
        </is>
      </c>
      <c r="AY1077" t="inlineStr">
        <is>
          <t>991003694919702656</t>
        </is>
      </c>
      <c r="AZ1077" t="inlineStr">
        <is>
          <t>991003694919702656</t>
        </is>
      </c>
      <c r="BA1077" t="inlineStr">
        <is>
          <t>2255389410002656</t>
        </is>
      </c>
      <c r="BB1077" t="inlineStr">
        <is>
          <t>BOOK</t>
        </is>
      </c>
      <c r="BD1077" t="inlineStr">
        <is>
          <t>9789681637941</t>
        </is>
      </c>
      <c r="BE1077" t="inlineStr">
        <is>
          <t>32285004427778</t>
        </is>
      </c>
      <c r="BF1077" t="inlineStr">
        <is>
          <t>893693041</t>
        </is>
      </c>
    </row>
    <row r="1078">
      <c r="A1078" t="inlineStr">
        <is>
          <t>No</t>
        </is>
      </c>
      <c r="B1078" t="inlineStr">
        <is>
          <t>CURAL</t>
        </is>
      </c>
      <c r="C1078" t="inlineStr">
        <is>
          <t>SHELVES</t>
        </is>
      </c>
      <c r="D1078" t="inlineStr">
        <is>
          <t>PQ7797.S214 A6 1974</t>
        </is>
      </c>
      <c r="E1078" t="inlineStr">
        <is>
          <t>0                      PQ 7797000S  214                A  6           1974</t>
        </is>
      </c>
      <c r="F1078" t="inlineStr">
        <is>
          <t>Páginas vivas / selección del autor, Ernesto Sábato ; estudio preliminar y notas de María Isabel Murtagh.</t>
        </is>
      </c>
      <c r="H1078" t="inlineStr">
        <is>
          <t>No</t>
        </is>
      </c>
      <c r="I1078" t="inlineStr">
        <is>
          <t>1</t>
        </is>
      </c>
      <c r="J1078" t="inlineStr">
        <is>
          <t>No</t>
        </is>
      </c>
      <c r="K1078" t="inlineStr">
        <is>
          <t>No</t>
        </is>
      </c>
      <c r="L1078" t="inlineStr">
        <is>
          <t>0</t>
        </is>
      </c>
      <c r="M1078" t="inlineStr">
        <is>
          <t>Sábato, Ernesto R.</t>
        </is>
      </c>
      <c r="N1078" t="inlineStr">
        <is>
          <t>Buenos Aires : Editorial Kapelusz, 1974.</t>
        </is>
      </c>
      <c r="O1078" t="inlineStr">
        <is>
          <t>1974</t>
        </is>
      </c>
      <c r="Q1078" t="inlineStr">
        <is>
          <t>spa</t>
        </is>
      </c>
      <c r="R1078" t="inlineStr">
        <is>
          <t xml:space="preserve">ag </t>
        </is>
      </c>
      <c r="S1078" t="inlineStr">
        <is>
          <t>Grandes obras de la literatura universal ; 105</t>
        </is>
      </c>
      <c r="T1078" t="inlineStr">
        <is>
          <t xml:space="preserve">PQ </t>
        </is>
      </c>
      <c r="U1078" t="n">
        <v>1</v>
      </c>
      <c r="V1078" t="n">
        <v>1</v>
      </c>
      <c r="W1078" t="inlineStr">
        <is>
          <t>2005-03-23</t>
        </is>
      </c>
      <c r="X1078" t="inlineStr">
        <is>
          <t>2005-03-23</t>
        </is>
      </c>
      <c r="Y1078" t="inlineStr">
        <is>
          <t>2005-03-23</t>
        </is>
      </c>
      <c r="Z1078" t="inlineStr">
        <is>
          <t>2005-03-23</t>
        </is>
      </c>
      <c r="AA1078" t="n">
        <v>71</v>
      </c>
      <c r="AB1078" t="n">
        <v>50</v>
      </c>
      <c r="AC1078" t="n">
        <v>52</v>
      </c>
      <c r="AD1078" t="n">
        <v>1</v>
      </c>
      <c r="AE1078" t="n">
        <v>1</v>
      </c>
      <c r="AF1078" t="n">
        <v>2</v>
      </c>
      <c r="AG1078" t="n">
        <v>2</v>
      </c>
      <c r="AH1078" t="n">
        <v>0</v>
      </c>
      <c r="AI1078" t="n">
        <v>0</v>
      </c>
      <c r="AJ1078" t="n">
        <v>1</v>
      </c>
      <c r="AK1078" t="n">
        <v>1</v>
      </c>
      <c r="AL1078" t="n">
        <v>1</v>
      </c>
      <c r="AM1078" t="n">
        <v>1</v>
      </c>
      <c r="AN1078" t="n">
        <v>0</v>
      </c>
      <c r="AO1078" t="n">
        <v>0</v>
      </c>
      <c r="AP1078" t="n">
        <v>0</v>
      </c>
      <c r="AQ1078" t="n">
        <v>0</v>
      </c>
      <c r="AR1078" t="inlineStr">
        <is>
          <t>No</t>
        </is>
      </c>
      <c r="AS1078" t="inlineStr">
        <is>
          <t>Yes</t>
        </is>
      </c>
      <c r="AT1078">
        <f>HYPERLINK("http://catalog.hathitrust.org/Record/007324837","HathiTrust Record")</f>
        <v/>
      </c>
      <c r="AU1078">
        <f>HYPERLINK("https://creighton-primo.hosted.exlibrisgroup.com/primo-explore/search?tab=default_tab&amp;search_scope=EVERYTHING&amp;vid=01CRU&amp;lang=en_US&amp;offset=0&amp;query=any,contains,991004509239702656","Catalog Record")</f>
        <v/>
      </c>
      <c r="AV1078">
        <f>HYPERLINK("http://www.worldcat.org/oclc/2050088","WorldCat Record")</f>
        <v/>
      </c>
      <c r="AW1078" t="inlineStr">
        <is>
          <t>5575313237:spa</t>
        </is>
      </c>
      <c r="AX1078" t="inlineStr">
        <is>
          <t>2050088</t>
        </is>
      </c>
      <c r="AY1078" t="inlineStr">
        <is>
          <t>991004509239702656</t>
        </is>
      </c>
      <c r="AZ1078" t="inlineStr">
        <is>
          <t>991004509239702656</t>
        </is>
      </c>
      <c r="BA1078" t="inlineStr">
        <is>
          <t>2261919760002656</t>
        </is>
      </c>
      <c r="BB1078" t="inlineStr">
        <is>
          <t>BOOK</t>
        </is>
      </c>
      <c r="BE1078" t="inlineStr">
        <is>
          <t>32285005029466</t>
        </is>
      </c>
      <c r="BF1078" t="inlineStr">
        <is>
          <t>893593757</t>
        </is>
      </c>
    </row>
    <row r="1079">
      <c r="A1079" t="inlineStr">
        <is>
          <t>No</t>
        </is>
      </c>
      <c r="B1079" t="inlineStr">
        <is>
          <t>CURAL</t>
        </is>
      </c>
      <c r="C1079" t="inlineStr">
        <is>
          <t>SHELVES</t>
        </is>
      </c>
      <c r="D1079" t="inlineStr">
        <is>
          <t>PQ7797.S214 Z584 1997</t>
        </is>
      </c>
      <c r="E1079" t="inlineStr">
        <is>
          <t>0                      PQ 7797000S  214                Z  584         1997</t>
        </is>
      </c>
      <c r="F1079" t="inlineStr">
        <is>
          <t>Genio y figura de Ernesto Sábato / Carlos Catania.</t>
        </is>
      </c>
      <c r="H1079" t="inlineStr">
        <is>
          <t>No</t>
        </is>
      </c>
      <c r="I1079" t="inlineStr">
        <is>
          <t>1</t>
        </is>
      </c>
      <c r="J1079" t="inlineStr">
        <is>
          <t>No</t>
        </is>
      </c>
      <c r="K1079" t="inlineStr">
        <is>
          <t>No</t>
        </is>
      </c>
      <c r="L1079" t="inlineStr">
        <is>
          <t>0</t>
        </is>
      </c>
      <c r="M1079" t="inlineStr">
        <is>
          <t>Catania, Carlos.</t>
        </is>
      </c>
      <c r="N1079" t="inlineStr">
        <is>
          <t>[Buenos Aires, Argentina] : Eudeba, [1997]</t>
        </is>
      </c>
      <c r="O1079" t="inlineStr">
        <is>
          <t>1997</t>
        </is>
      </c>
      <c r="P1079" t="inlineStr">
        <is>
          <t>[2. ed., actualizada].</t>
        </is>
      </c>
      <c r="Q1079" t="inlineStr">
        <is>
          <t>spa</t>
        </is>
      </c>
      <c r="R1079" t="inlineStr">
        <is>
          <t xml:space="preserve">ag </t>
        </is>
      </c>
      <c r="T1079" t="inlineStr">
        <is>
          <t xml:space="preserve">PQ </t>
        </is>
      </c>
      <c r="U1079" t="n">
        <v>1</v>
      </c>
      <c r="V1079" t="n">
        <v>1</v>
      </c>
      <c r="W1079" t="inlineStr">
        <is>
          <t>2000-09-20</t>
        </is>
      </c>
      <c r="X1079" t="inlineStr">
        <is>
          <t>2000-09-20</t>
        </is>
      </c>
      <c r="Y1079" t="inlineStr">
        <is>
          <t>2000-09-20</t>
        </is>
      </c>
      <c r="Z1079" t="inlineStr">
        <is>
          <t>2000-09-20</t>
        </is>
      </c>
      <c r="AA1079" t="n">
        <v>71</v>
      </c>
      <c r="AB1079" t="n">
        <v>61</v>
      </c>
      <c r="AC1079" t="n">
        <v>127</v>
      </c>
      <c r="AD1079" t="n">
        <v>1</v>
      </c>
      <c r="AE1079" t="n">
        <v>2</v>
      </c>
      <c r="AF1079" t="n">
        <v>1</v>
      </c>
      <c r="AG1079" t="n">
        <v>3</v>
      </c>
      <c r="AH1079" t="n">
        <v>0</v>
      </c>
      <c r="AI1079" t="n">
        <v>0</v>
      </c>
      <c r="AJ1079" t="n">
        <v>1</v>
      </c>
      <c r="AK1079" t="n">
        <v>2</v>
      </c>
      <c r="AL1079" t="n">
        <v>1</v>
      </c>
      <c r="AM1079" t="n">
        <v>2</v>
      </c>
      <c r="AN1079" t="n">
        <v>0</v>
      </c>
      <c r="AO1079" t="n">
        <v>1</v>
      </c>
      <c r="AP1079" t="n">
        <v>0</v>
      </c>
      <c r="AQ1079" t="n">
        <v>0</v>
      </c>
      <c r="AR1079" t="inlineStr">
        <is>
          <t>No</t>
        </is>
      </c>
      <c r="AS1079" t="inlineStr">
        <is>
          <t>No</t>
        </is>
      </c>
      <c r="AU1079">
        <f>HYPERLINK("https://creighton-primo.hosted.exlibrisgroup.com/primo-explore/search?tab=default_tab&amp;search_scope=EVERYTHING&amp;vid=01CRU&amp;lang=en_US&amp;offset=0&amp;query=any,contains,991003252599702656","Catalog Record")</f>
        <v/>
      </c>
      <c r="AV1079">
        <f>HYPERLINK("http://www.worldcat.org/oclc/37366647","WorldCat Record")</f>
        <v/>
      </c>
      <c r="AW1079" t="inlineStr">
        <is>
          <t>12017218:spa</t>
        </is>
      </c>
      <c r="AX1079" t="inlineStr">
        <is>
          <t>37366647</t>
        </is>
      </c>
      <c r="AY1079" t="inlineStr">
        <is>
          <t>991003252599702656</t>
        </is>
      </c>
      <c r="AZ1079" t="inlineStr">
        <is>
          <t>991003252599702656</t>
        </is>
      </c>
      <c r="BA1079" t="inlineStr">
        <is>
          <t>2261192840002656</t>
        </is>
      </c>
      <c r="BB1079" t="inlineStr">
        <is>
          <t>BOOK</t>
        </is>
      </c>
      <c r="BD1079" t="inlineStr">
        <is>
          <t>9789502306445</t>
        </is>
      </c>
      <c r="BE1079" t="inlineStr">
        <is>
          <t>32285003763637</t>
        </is>
      </c>
      <c r="BF1079" t="inlineStr">
        <is>
          <t>893258227</t>
        </is>
      </c>
    </row>
    <row r="1080">
      <c r="A1080" t="inlineStr">
        <is>
          <t>No</t>
        </is>
      </c>
      <c r="B1080" t="inlineStr">
        <is>
          <t>CURAL</t>
        </is>
      </c>
      <c r="C1080" t="inlineStr">
        <is>
          <t>SHELVES</t>
        </is>
      </c>
      <c r="D1080" t="inlineStr">
        <is>
          <t>PQ7797.U83 A17 1984</t>
        </is>
      </c>
      <c r="E1080" t="inlineStr">
        <is>
          <t>0                      PQ 7797000U  83                 A  17          1984</t>
        </is>
      </c>
      <c r="F1080" t="inlineStr">
        <is>
          <t>Poemas / Francisco Urondo.</t>
        </is>
      </c>
      <c r="H1080" t="inlineStr">
        <is>
          <t>No</t>
        </is>
      </c>
      <c r="I1080" t="inlineStr">
        <is>
          <t>1</t>
        </is>
      </c>
      <c r="J1080" t="inlineStr">
        <is>
          <t>No</t>
        </is>
      </c>
      <c r="K1080" t="inlineStr">
        <is>
          <t>No</t>
        </is>
      </c>
      <c r="L1080" t="inlineStr">
        <is>
          <t>0</t>
        </is>
      </c>
      <c r="M1080" t="inlineStr">
        <is>
          <t>Urondo, Francisco.</t>
        </is>
      </c>
      <c r="N1080" t="inlineStr">
        <is>
          <t>Ciudad de La Habana : Casa de las Américas, 1984.</t>
        </is>
      </c>
      <c r="O1080" t="inlineStr">
        <is>
          <t>1984</t>
        </is>
      </c>
      <c r="Q1080" t="inlineStr">
        <is>
          <t>spa</t>
        </is>
      </c>
      <c r="R1080" t="inlineStr">
        <is>
          <t xml:space="preserve">cu </t>
        </is>
      </c>
      <c r="S1080" t="inlineStr">
        <is>
          <t>Colección La Honda</t>
        </is>
      </c>
      <c r="T1080" t="inlineStr">
        <is>
          <t xml:space="preserve">PQ </t>
        </is>
      </c>
      <c r="U1080" t="n">
        <v>1</v>
      </c>
      <c r="V1080" t="n">
        <v>1</v>
      </c>
      <c r="W1080" t="inlineStr">
        <is>
          <t>2004-08-04</t>
        </is>
      </c>
      <c r="X1080" t="inlineStr">
        <is>
          <t>2004-08-04</t>
        </is>
      </c>
      <c r="Y1080" t="inlineStr">
        <is>
          <t>2004-08-04</t>
        </is>
      </c>
      <c r="Z1080" t="inlineStr">
        <is>
          <t>2004-08-04</t>
        </is>
      </c>
      <c r="AA1080" t="n">
        <v>39</v>
      </c>
      <c r="AB1080" t="n">
        <v>31</v>
      </c>
      <c r="AC1080" t="n">
        <v>33</v>
      </c>
      <c r="AD1080" t="n">
        <v>1</v>
      </c>
      <c r="AE1080" t="n">
        <v>1</v>
      </c>
      <c r="AF1080" t="n">
        <v>0</v>
      </c>
      <c r="AG1080" t="n">
        <v>0</v>
      </c>
      <c r="AH1080" t="n">
        <v>0</v>
      </c>
      <c r="AI1080" t="n">
        <v>0</v>
      </c>
      <c r="AJ1080" t="n">
        <v>0</v>
      </c>
      <c r="AK1080" t="n">
        <v>0</v>
      </c>
      <c r="AL1080" t="n">
        <v>0</v>
      </c>
      <c r="AM1080" t="n">
        <v>0</v>
      </c>
      <c r="AN1080" t="n">
        <v>0</v>
      </c>
      <c r="AO1080" t="n">
        <v>0</v>
      </c>
      <c r="AP1080" t="n">
        <v>0</v>
      </c>
      <c r="AQ1080" t="n">
        <v>0</v>
      </c>
      <c r="AR1080" t="inlineStr">
        <is>
          <t>No</t>
        </is>
      </c>
      <c r="AS1080" t="inlineStr">
        <is>
          <t>Yes</t>
        </is>
      </c>
      <c r="AT1080">
        <f>HYPERLINK("http://catalog.hathitrust.org/Record/006714240","HathiTrust Record")</f>
        <v/>
      </c>
      <c r="AU1080">
        <f>HYPERLINK("https://creighton-primo.hosted.exlibrisgroup.com/primo-explore/search?tab=default_tab&amp;search_scope=EVERYTHING&amp;vid=01CRU&amp;lang=en_US&amp;offset=0&amp;query=any,contains,991004336779702656","Catalog Record")</f>
        <v/>
      </c>
      <c r="AV1080">
        <f>HYPERLINK("http://www.worldcat.org/oclc/13980475","WorldCat Record")</f>
        <v/>
      </c>
      <c r="AW1080" t="inlineStr">
        <is>
          <t>5090568847:spa</t>
        </is>
      </c>
      <c r="AX1080" t="inlineStr">
        <is>
          <t>13980475</t>
        </is>
      </c>
      <c r="AY1080" t="inlineStr">
        <is>
          <t>991004336779702656</t>
        </is>
      </c>
      <c r="AZ1080" t="inlineStr">
        <is>
          <t>991004336779702656</t>
        </is>
      </c>
      <c r="BA1080" t="inlineStr">
        <is>
          <t>2264076150002656</t>
        </is>
      </c>
      <c r="BB1080" t="inlineStr">
        <is>
          <t>BOOK</t>
        </is>
      </c>
      <c r="BE1080" t="inlineStr">
        <is>
          <t>32285004928304</t>
        </is>
      </c>
      <c r="BF1080" t="inlineStr">
        <is>
          <t>893349896</t>
        </is>
      </c>
    </row>
    <row r="1081">
      <c r="A1081" t="inlineStr">
        <is>
          <t>No</t>
        </is>
      </c>
      <c r="B1081" t="inlineStr">
        <is>
          <t>CURAL</t>
        </is>
      </c>
      <c r="C1081" t="inlineStr">
        <is>
          <t>SHELVES</t>
        </is>
      </c>
      <c r="D1081" t="inlineStr">
        <is>
          <t>PQ7798.23.A692 S35 1995</t>
        </is>
      </c>
      <c r="E1081" t="inlineStr">
        <is>
          <t>0                      PQ 7798230A  692                S  35          1995</t>
        </is>
      </c>
      <c r="F1081" t="inlineStr">
        <is>
          <t>Santa Evita / Tomás Eloy Martínez.</t>
        </is>
      </c>
      <c r="H1081" t="inlineStr">
        <is>
          <t>No</t>
        </is>
      </c>
      <c r="I1081" t="inlineStr">
        <is>
          <t>1</t>
        </is>
      </c>
      <c r="J1081" t="inlineStr">
        <is>
          <t>No</t>
        </is>
      </c>
      <c r="K1081" t="inlineStr">
        <is>
          <t>No</t>
        </is>
      </c>
      <c r="L1081" t="inlineStr">
        <is>
          <t>0</t>
        </is>
      </c>
      <c r="M1081" t="inlineStr">
        <is>
          <t>Martínez, Tomás Eloy.</t>
        </is>
      </c>
      <c r="N1081" t="inlineStr">
        <is>
          <t>New York : Random House, 1995.</t>
        </is>
      </c>
      <c r="O1081" t="inlineStr">
        <is>
          <t>1995</t>
        </is>
      </c>
      <c r="Q1081" t="inlineStr">
        <is>
          <t>spa</t>
        </is>
      </c>
      <c r="R1081" t="inlineStr">
        <is>
          <t>nyu</t>
        </is>
      </c>
      <c r="T1081" t="inlineStr">
        <is>
          <t xml:space="preserve">PQ </t>
        </is>
      </c>
      <c r="U1081" t="n">
        <v>2</v>
      </c>
      <c r="V1081" t="n">
        <v>2</v>
      </c>
      <c r="W1081" t="inlineStr">
        <is>
          <t>1999-08-29</t>
        </is>
      </c>
      <c r="X1081" t="inlineStr">
        <is>
          <t>1999-08-29</t>
        </is>
      </c>
      <c r="Y1081" t="inlineStr">
        <is>
          <t>1997-01-31</t>
        </is>
      </c>
      <c r="Z1081" t="inlineStr">
        <is>
          <t>1997-01-31</t>
        </is>
      </c>
      <c r="AA1081" t="n">
        <v>290</v>
      </c>
      <c r="AB1081" t="n">
        <v>283</v>
      </c>
      <c r="AC1081" t="n">
        <v>547</v>
      </c>
      <c r="AD1081" t="n">
        <v>2</v>
      </c>
      <c r="AE1081" t="n">
        <v>4</v>
      </c>
      <c r="AF1081" t="n">
        <v>3</v>
      </c>
      <c r="AG1081" t="n">
        <v>14</v>
      </c>
      <c r="AH1081" t="n">
        <v>2</v>
      </c>
      <c r="AI1081" t="n">
        <v>4</v>
      </c>
      <c r="AJ1081" t="n">
        <v>0</v>
      </c>
      <c r="AK1081" t="n">
        <v>5</v>
      </c>
      <c r="AL1081" t="n">
        <v>1</v>
      </c>
      <c r="AM1081" t="n">
        <v>8</v>
      </c>
      <c r="AN1081" t="n">
        <v>1</v>
      </c>
      <c r="AO1081" t="n">
        <v>2</v>
      </c>
      <c r="AP1081" t="n">
        <v>0</v>
      </c>
      <c r="AQ1081" t="n">
        <v>0</v>
      </c>
      <c r="AR1081" t="inlineStr">
        <is>
          <t>No</t>
        </is>
      </c>
      <c r="AS1081" t="inlineStr">
        <is>
          <t>Yes</t>
        </is>
      </c>
      <c r="AT1081">
        <f>HYPERLINK("http://catalog.hathitrust.org/Record/009925071","HathiTrust Record")</f>
        <v/>
      </c>
      <c r="AU1081">
        <f>HYPERLINK("https://creighton-primo.hosted.exlibrisgroup.com/primo-explore/search?tab=default_tab&amp;search_scope=EVERYTHING&amp;vid=01CRU&amp;lang=en_US&amp;offset=0&amp;query=any,contains,991002724799702656","Catalog Record")</f>
        <v/>
      </c>
      <c r="AV1081">
        <f>HYPERLINK("http://www.worldcat.org/oclc/35739486","WorldCat Record")</f>
        <v/>
      </c>
      <c r="AW1081" t="inlineStr">
        <is>
          <t>570755:spa</t>
        </is>
      </c>
      <c r="AX1081" t="inlineStr">
        <is>
          <t>35739486</t>
        </is>
      </c>
      <c r="AY1081" t="inlineStr">
        <is>
          <t>991002724799702656</t>
        </is>
      </c>
      <c r="AZ1081" t="inlineStr">
        <is>
          <t>991002724799702656</t>
        </is>
      </c>
      <c r="BA1081" t="inlineStr">
        <is>
          <t>2258755540002656</t>
        </is>
      </c>
      <c r="BB1081" t="inlineStr">
        <is>
          <t>BOOK</t>
        </is>
      </c>
      <c r="BD1081" t="inlineStr">
        <is>
          <t>9780679776291</t>
        </is>
      </c>
      <c r="BE1081" t="inlineStr">
        <is>
          <t>32285002413051</t>
        </is>
      </c>
      <c r="BF1081" t="inlineStr">
        <is>
          <t>893317174</t>
        </is>
      </c>
    </row>
    <row r="1082">
      <c r="A1082" t="inlineStr">
        <is>
          <t>No</t>
        </is>
      </c>
      <c r="B1082" t="inlineStr">
        <is>
          <t>CURAL</t>
        </is>
      </c>
      <c r="C1082" t="inlineStr">
        <is>
          <t>SHELVES</t>
        </is>
      </c>
      <c r="D1082" t="inlineStr">
        <is>
          <t>PQ7798.23.O454 V37 2003</t>
        </is>
      </c>
      <c r="E1082" t="inlineStr">
        <is>
          <t>0                      PQ 7798230O  454                V  37          2003</t>
        </is>
      </c>
      <c r="F1082" t="inlineStr">
        <is>
          <t>Varia imaginación / Sylvia Molloy.</t>
        </is>
      </c>
      <c r="H1082" t="inlineStr">
        <is>
          <t>No</t>
        </is>
      </c>
      <c r="I1082" t="inlineStr">
        <is>
          <t>1</t>
        </is>
      </c>
      <c r="J1082" t="inlineStr">
        <is>
          <t>No</t>
        </is>
      </c>
      <c r="K1082" t="inlineStr">
        <is>
          <t>No</t>
        </is>
      </c>
      <c r="L1082" t="inlineStr">
        <is>
          <t>0</t>
        </is>
      </c>
      <c r="M1082" t="inlineStr">
        <is>
          <t>Molloy, Sylvia, 1938-</t>
        </is>
      </c>
      <c r="N1082" t="inlineStr">
        <is>
          <t>Rosario, Argentina : Beatriz Viterbo, 2003.</t>
        </is>
      </c>
      <c r="O1082" t="inlineStr">
        <is>
          <t>2003</t>
        </is>
      </c>
      <c r="P1082" t="inlineStr">
        <is>
          <t>1. ed.</t>
        </is>
      </c>
      <c r="Q1082" t="inlineStr">
        <is>
          <t>spa</t>
        </is>
      </c>
      <c r="R1082" t="inlineStr">
        <is>
          <t xml:space="preserve">ag </t>
        </is>
      </c>
      <c r="S1082" t="inlineStr">
        <is>
          <t>Ficciones ; 49</t>
        </is>
      </c>
      <c r="T1082" t="inlineStr">
        <is>
          <t xml:space="preserve">PQ </t>
        </is>
      </c>
      <c r="U1082" t="n">
        <v>1</v>
      </c>
      <c r="V1082" t="n">
        <v>1</v>
      </c>
      <c r="W1082" t="inlineStr">
        <is>
          <t>2004-04-15</t>
        </is>
      </c>
      <c r="X1082" t="inlineStr">
        <is>
          <t>2004-04-15</t>
        </is>
      </c>
      <c r="Y1082" t="inlineStr">
        <is>
          <t>2004-04-15</t>
        </is>
      </c>
      <c r="Z1082" t="inlineStr">
        <is>
          <t>2004-04-15</t>
        </is>
      </c>
      <c r="AA1082" t="n">
        <v>101</v>
      </c>
      <c r="AB1082" t="n">
        <v>87</v>
      </c>
      <c r="AC1082" t="n">
        <v>87</v>
      </c>
      <c r="AD1082" t="n">
        <v>2</v>
      </c>
      <c r="AE1082" t="n">
        <v>2</v>
      </c>
      <c r="AF1082" t="n">
        <v>4</v>
      </c>
      <c r="AG1082" t="n">
        <v>4</v>
      </c>
      <c r="AH1082" t="n">
        <v>1</v>
      </c>
      <c r="AI1082" t="n">
        <v>1</v>
      </c>
      <c r="AJ1082" t="n">
        <v>0</v>
      </c>
      <c r="AK1082" t="n">
        <v>0</v>
      </c>
      <c r="AL1082" t="n">
        <v>3</v>
      </c>
      <c r="AM1082" t="n">
        <v>3</v>
      </c>
      <c r="AN1082" t="n">
        <v>1</v>
      </c>
      <c r="AO1082" t="n">
        <v>1</v>
      </c>
      <c r="AP1082" t="n">
        <v>0</v>
      </c>
      <c r="AQ1082" t="n">
        <v>0</v>
      </c>
      <c r="AR1082" t="inlineStr">
        <is>
          <t>No</t>
        </is>
      </c>
      <c r="AS1082" t="inlineStr">
        <is>
          <t>No</t>
        </is>
      </c>
      <c r="AU1082">
        <f>HYPERLINK("https://creighton-primo.hosted.exlibrisgroup.com/primo-explore/search?tab=default_tab&amp;search_scope=EVERYTHING&amp;vid=01CRU&amp;lang=en_US&amp;offset=0&amp;query=any,contains,991004270679702656","Catalog Record")</f>
        <v/>
      </c>
      <c r="AV1082">
        <f>HYPERLINK("http://www.worldcat.org/oclc/53345953","WorldCat Record")</f>
        <v/>
      </c>
      <c r="AW1082" t="inlineStr">
        <is>
          <t>12166542:spa</t>
        </is>
      </c>
      <c r="AX1082" t="inlineStr">
        <is>
          <t>53345953</t>
        </is>
      </c>
      <c r="AY1082" t="inlineStr">
        <is>
          <t>991004270679702656</t>
        </is>
      </c>
      <c r="AZ1082" t="inlineStr">
        <is>
          <t>991004270679702656</t>
        </is>
      </c>
      <c r="BA1082" t="inlineStr">
        <is>
          <t>2257295570002656</t>
        </is>
      </c>
      <c r="BB1082" t="inlineStr">
        <is>
          <t>BOOK</t>
        </is>
      </c>
      <c r="BD1082" t="inlineStr">
        <is>
          <t>9789508451323</t>
        </is>
      </c>
      <c r="BE1082" t="inlineStr">
        <is>
          <t>32285004899927</t>
        </is>
      </c>
      <c r="BF1082" t="inlineStr">
        <is>
          <t>893343648</t>
        </is>
      </c>
    </row>
    <row r="1083">
      <c r="A1083" t="inlineStr">
        <is>
          <t>No</t>
        </is>
      </c>
      <c r="B1083" t="inlineStr">
        <is>
          <t>CURAL</t>
        </is>
      </c>
      <c r="C1083" t="inlineStr">
        <is>
          <t>SHELVES</t>
        </is>
      </c>
      <c r="D1083" t="inlineStr">
        <is>
          <t>PQ7798.28.A96 A77 2002</t>
        </is>
      </c>
      <c r="E1083" t="inlineStr">
        <is>
          <t>0                      PQ 7798280A  96                 A  77          2002</t>
        </is>
      </c>
      <c r="F1083" t="inlineStr">
        <is>
          <t>Defiant acts : four plays / by Diana Raznovich = Actos desafiantes : cuatro obras / de Diana Raznovich ; edited by Diana Taylor and Victoria Martinez ; drawings by Diana Raznovich.</t>
        </is>
      </c>
      <c r="H1083" t="inlineStr">
        <is>
          <t>No</t>
        </is>
      </c>
      <c r="I1083" t="inlineStr">
        <is>
          <t>1</t>
        </is>
      </c>
      <c r="J1083" t="inlineStr">
        <is>
          <t>No</t>
        </is>
      </c>
      <c r="K1083" t="inlineStr">
        <is>
          <t>No</t>
        </is>
      </c>
      <c r="L1083" t="inlineStr">
        <is>
          <t>0</t>
        </is>
      </c>
      <c r="M1083" t="inlineStr">
        <is>
          <t>Raznovich, Diana.</t>
        </is>
      </c>
      <c r="N1083" t="inlineStr">
        <is>
          <t>Lewisburg, PA : Bucknell University Press ; London : Associated University Presses, c2002.</t>
        </is>
      </c>
      <c r="O1083" t="inlineStr">
        <is>
          <t>2002</t>
        </is>
      </c>
      <c r="Q1083" t="inlineStr">
        <is>
          <t>eng</t>
        </is>
      </c>
      <c r="R1083" t="inlineStr">
        <is>
          <t>pau</t>
        </is>
      </c>
      <c r="T1083" t="inlineStr">
        <is>
          <t xml:space="preserve">PQ </t>
        </is>
      </c>
      <c r="U1083" t="n">
        <v>1</v>
      </c>
      <c r="V1083" t="n">
        <v>1</v>
      </c>
      <c r="W1083" t="inlineStr">
        <is>
          <t>2003-04-09</t>
        </is>
      </c>
      <c r="X1083" t="inlineStr">
        <is>
          <t>2003-04-09</t>
        </is>
      </c>
      <c r="Y1083" t="inlineStr">
        <is>
          <t>2003-04-09</t>
        </is>
      </c>
      <c r="Z1083" t="inlineStr">
        <is>
          <t>2003-04-09</t>
        </is>
      </c>
      <c r="AA1083" t="n">
        <v>216</v>
      </c>
      <c r="AB1083" t="n">
        <v>200</v>
      </c>
      <c r="AC1083" t="n">
        <v>202</v>
      </c>
      <c r="AD1083" t="n">
        <v>2</v>
      </c>
      <c r="AE1083" t="n">
        <v>2</v>
      </c>
      <c r="AF1083" t="n">
        <v>12</v>
      </c>
      <c r="AG1083" t="n">
        <v>12</v>
      </c>
      <c r="AH1083" t="n">
        <v>1</v>
      </c>
      <c r="AI1083" t="n">
        <v>1</v>
      </c>
      <c r="AJ1083" t="n">
        <v>6</v>
      </c>
      <c r="AK1083" t="n">
        <v>6</v>
      </c>
      <c r="AL1083" t="n">
        <v>6</v>
      </c>
      <c r="AM1083" t="n">
        <v>6</v>
      </c>
      <c r="AN1083" t="n">
        <v>1</v>
      </c>
      <c r="AO1083" t="n">
        <v>1</v>
      </c>
      <c r="AP1083" t="n">
        <v>0</v>
      </c>
      <c r="AQ1083" t="n">
        <v>0</v>
      </c>
      <c r="AR1083" t="inlineStr">
        <is>
          <t>No</t>
        </is>
      </c>
      <c r="AS1083" t="inlineStr">
        <is>
          <t>Yes</t>
        </is>
      </c>
      <c r="AT1083">
        <f>HYPERLINK("http://catalog.hathitrust.org/Record/004253745","HathiTrust Record")</f>
        <v/>
      </c>
      <c r="AU1083">
        <f>HYPERLINK("https://creighton-primo.hosted.exlibrisgroup.com/primo-explore/search?tab=default_tab&amp;search_scope=EVERYTHING&amp;vid=01CRU&amp;lang=en_US&amp;offset=0&amp;query=any,contains,991004021189702656","Catalog Record")</f>
        <v/>
      </c>
      <c r="AV1083">
        <f>HYPERLINK("http://www.worldcat.org/oclc/46713271","WorldCat Record")</f>
        <v/>
      </c>
      <c r="AW1083" t="inlineStr">
        <is>
          <t>205051381:eng</t>
        </is>
      </c>
      <c r="AX1083" t="inlineStr">
        <is>
          <t>46713271</t>
        </is>
      </c>
      <c r="AY1083" t="inlineStr">
        <is>
          <t>991004021189702656</t>
        </is>
      </c>
      <c r="AZ1083" t="inlineStr">
        <is>
          <t>991004021189702656</t>
        </is>
      </c>
      <c r="BA1083" t="inlineStr">
        <is>
          <t>2255105090002656</t>
        </is>
      </c>
      <c r="BB1083" t="inlineStr">
        <is>
          <t>BOOK</t>
        </is>
      </c>
      <c r="BD1083" t="inlineStr">
        <is>
          <t>9780838754795</t>
        </is>
      </c>
      <c r="BE1083" t="inlineStr">
        <is>
          <t>32285004741442</t>
        </is>
      </c>
      <c r="BF1083" t="inlineStr">
        <is>
          <t>893247067</t>
        </is>
      </c>
    </row>
    <row r="1084">
      <c r="A1084" t="inlineStr">
        <is>
          <t>No</t>
        </is>
      </c>
      <c r="B1084" t="inlineStr">
        <is>
          <t>CURAL</t>
        </is>
      </c>
      <c r="C1084" t="inlineStr">
        <is>
          <t>SHELVES</t>
        </is>
      </c>
      <c r="D1084" t="inlineStr">
        <is>
          <t>PQ7798.32.A48 A15 1999</t>
        </is>
      </c>
      <c r="E1084" t="inlineStr">
        <is>
          <t>0                      PQ 7798320A  48                 A  15          1999</t>
        </is>
      </c>
      <c r="F1084" t="inlineStr">
        <is>
          <t>Cuentos completos y uno más / Luisa Valenzuela.</t>
        </is>
      </c>
      <c r="H1084" t="inlineStr">
        <is>
          <t>No</t>
        </is>
      </c>
      <c r="I1084" t="inlineStr">
        <is>
          <t>1</t>
        </is>
      </c>
      <c r="J1084" t="inlineStr">
        <is>
          <t>No</t>
        </is>
      </c>
      <c r="K1084" t="inlineStr">
        <is>
          <t>No</t>
        </is>
      </c>
      <c r="L1084" t="inlineStr">
        <is>
          <t>0</t>
        </is>
      </c>
      <c r="M1084" t="inlineStr">
        <is>
          <t>Valenzuela, Luisa, 1938-</t>
        </is>
      </c>
      <c r="N1084" t="inlineStr">
        <is>
          <t>Distrito Federal (Mexico) : Alfaguara, 1999, c1998.</t>
        </is>
      </c>
      <c r="O1084" t="inlineStr">
        <is>
          <t>1999</t>
        </is>
      </c>
      <c r="P1084" t="inlineStr">
        <is>
          <t>1st ed.</t>
        </is>
      </c>
      <c r="Q1084" t="inlineStr">
        <is>
          <t>spa</t>
        </is>
      </c>
      <c r="R1084" t="inlineStr">
        <is>
          <t xml:space="preserve">mx </t>
        </is>
      </c>
      <c r="T1084" t="inlineStr">
        <is>
          <t xml:space="preserve">PQ </t>
        </is>
      </c>
      <c r="U1084" t="n">
        <v>3</v>
      </c>
      <c r="V1084" t="n">
        <v>3</v>
      </c>
      <c r="W1084" t="inlineStr">
        <is>
          <t>2002-04-19</t>
        </is>
      </c>
      <c r="X1084" t="inlineStr">
        <is>
          <t>2002-04-19</t>
        </is>
      </c>
      <c r="Y1084" t="inlineStr">
        <is>
          <t>2000-09-06</t>
        </is>
      </c>
      <c r="Z1084" t="inlineStr">
        <is>
          <t>2000-09-06</t>
        </is>
      </c>
      <c r="AA1084" t="n">
        <v>264</v>
      </c>
      <c r="AB1084" t="n">
        <v>248</v>
      </c>
      <c r="AC1084" t="n">
        <v>283</v>
      </c>
      <c r="AD1084" t="n">
        <v>3</v>
      </c>
      <c r="AE1084" t="n">
        <v>4</v>
      </c>
      <c r="AF1084" t="n">
        <v>15</v>
      </c>
      <c r="AG1084" t="n">
        <v>17</v>
      </c>
      <c r="AH1084" t="n">
        <v>7</v>
      </c>
      <c r="AI1084" t="n">
        <v>8</v>
      </c>
      <c r="AJ1084" t="n">
        <v>2</v>
      </c>
      <c r="AK1084" t="n">
        <v>2</v>
      </c>
      <c r="AL1084" t="n">
        <v>8</v>
      </c>
      <c r="AM1084" t="n">
        <v>9</v>
      </c>
      <c r="AN1084" t="n">
        <v>2</v>
      </c>
      <c r="AO1084" t="n">
        <v>3</v>
      </c>
      <c r="AP1084" t="n">
        <v>0</v>
      </c>
      <c r="AQ1084" t="n">
        <v>0</v>
      </c>
      <c r="AR1084" t="inlineStr">
        <is>
          <t>No</t>
        </is>
      </c>
      <c r="AS1084" t="inlineStr">
        <is>
          <t>Yes</t>
        </is>
      </c>
      <c r="AT1084">
        <f>HYPERLINK("http://catalog.hathitrust.org/Record/003445954","HathiTrust Record")</f>
        <v/>
      </c>
      <c r="AU1084">
        <f>HYPERLINK("https://creighton-primo.hosted.exlibrisgroup.com/primo-explore/search?tab=default_tab&amp;search_scope=EVERYTHING&amp;vid=01CRU&amp;lang=en_US&amp;offset=0&amp;query=any,contains,991003255029702656","Catalog Record")</f>
        <v/>
      </c>
      <c r="AV1084">
        <f>HYPERLINK("http://www.worldcat.org/oclc/43251647","WorldCat Record")</f>
        <v/>
      </c>
      <c r="AW1084" t="inlineStr">
        <is>
          <t>200846617:spa</t>
        </is>
      </c>
      <c r="AX1084" t="inlineStr">
        <is>
          <t>43251647</t>
        </is>
      </c>
      <c r="AY1084" t="inlineStr">
        <is>
          <t>991003255029702656</t>
        </is>
      </c>
      <c r="AZ1084" t="inlineStr">
        <is>
          <t>991003255029702656</t>
        </is>
      </c>
      <c r="BA1084" t="inlineStr">
        <is>
          <t>2269310490002656</t>
        </is>
      </c>
      <c r="BB1084" t="inlineStr">
        <is>
          <t>BOOK</t>
        </is>
      </c>
      <c r="BD1084" t="inlineStr">
        <is>
          <t>9789681905095</t>
        </is>
      </c>
      <c r="BE1084" t="inlineStr">
        <is>
          <t>32285003760302</t>
        </is>
      </c>
      <c r="BF1084" t="inlineStr">
        <is>
          <t>893505390</t>
        </is>
      </c>
    </row>
    <row r="1085">
      <c r="A1085" t="inlineStr">
        <is>
          <t>No</t>
        </is>
      </c>
      <c r="B1085" t="inlineStr">
        <is>
          <t>CURAL</t>
        </is>
      </c>
      <c r="C1085" t="inlineStr">
        <is>
          <t>SHELVES</t>
        </is>
      </c>
      <c r="D1085" t="inlineStr">
        <is>
          <t>PQ7798.32.A48 A87 1991</t>
        </is>
      </c>
      <c r="E1085" t="inlineStr">
        <is>
          <t>0                      PQ 7798320A  48                 A  87          1991</t>
        </is>
      </c>
      <c r="F1085" t="inlineStr">
        <is>
          <t>Aqui pasan cosas raras / Luisa Valenzuela.</t>
        </is>
      </c>
      <c r="H1085" t="inlineStr">
        <is>
          <t>No</t>
        </is>
      </c>
      <c r="I1085" t="inlineStr">
        <is>
          <t>1</t>
        </is>
      </c>
      <c r="J1085" t="inlineStr">
        <is>
          <t>No</t>
        </is>
      </c>
      <c r="K1085" t="inlineStr">
        <is>
          <t>No</t>
        </is>
      </c>
      <c r="L1085" t="inlineStr">
        <is>
          <t>0</t>
        </is>
      </c>
      <c r="M1085" t="inlineStr">
        <is>
          <t>Valenzuela, Luisa, 1938-</t>
        </is>
      </c>
      <c r="N1085" t="inlineStr">
        <is>
          <t>Buenos Aires : Ediciones de la Flor, c1991.</t>
        </is>
      </c>
      <c r="O1085" t="inlineStr">
        <is>
          <t>1991</t>
        </is>
      </c>
      <c r="P1085" t="inlineStr">
        <is>
          <t>2a ed.</t>
        </is>
      </c>
      <c r="Q1085" t="inlineStr">
        <is>
          <t>spa</t>
        </is>
      </c>
      <c r="R1085" t="inlineStr">
        <is>
          <t xml:space="preserve">ag </t>
        </is>
      </c>
      <c r="S1085" t="inlineStr">
        <is>
          <t>Literal</t>
        </is>
      </c>
      <c r="T1085" t="inlineStr">
        <is>
          <t xml:space="preserve">PQ </t>
        </is>
      </c>
      <c r="U1085" t="n">
        <v>2</v>
      </c>
      <c r="V1085" t="n">
        <v>2</v>
      </c>
      <c r="W1085" t="inlineStr">
        <is>
          <t>1996-12-09</t>
        </is>
      </c>
      <c r="X1085" t="inlineStr">
        <is>
          <t>1996-12-09</t>
        </is>
      </c>
      <c r="Y1085" t="inlineStr">
        <is>
          <t>1994-01-20</t>
        </is>
      </c>
      <c r="Z1085" t="inlineStr">
        <is>
          <t>1994-01-20</t>
        </is>
      </c>
      <c r="AA1085" t="n">
        <v>176</v>
      </c>
      <c r="AB1085" t="n">
        <v>152</v>
      </c>
      <c r="AC1085" t="n">
        <v>319</v>
      </c>
      <c r="AD1085" t="n">
        <v>2</v>
      </c>
      <c r="AE1085" t="n">
        <v>3</v>
      </c>
      <c r="AF1085" t="n">
        <v>7</v>
      </c>
      <c r="AG1085" t="n">
        <v>12</v>
      </c>
      <c r="AH1085" t="n">
        <v>3</v>
      </c>
      <c r="AI1085" t="n">
        <v>3</v>
      </c>
      <c r="AJ1085" t="n">
        <v>2</v>
      </c>
      <c r="AK1085" t="n">
        <v>3</v>
      </c>
      <c r="AL1085" t="n">
        <v>5</v>
      </c>
      <c r="AM1085" t="n">
        <v>8</v>
      </c>
      <c r="AN1085" t="n">
        <v>1</v>
      </c>
      <c r="AO1085" t="n">
        <v>2</v>
      </c>
      <c r="AP1085" t="n">
        <v>0</v>
      </c>
      <c r="AQ1085" t="n">
        <v>0</v>
      </c>
      <c r="AR1085" t="inlineStr">
        <is>
          <t>No</t>
        </is>
      </c>
      <c r="AS1085" t="inlineStr">
        <is>
          <t>No</t>
        </is>
      </c>
      <c r="AU1085">
        <f>HYPERLINK("https://creighton-primo.hosted.exlibrisgroup.com/primo-explore/search?tab=default_tab&amp;search_scope=EVERYTHING&amp;vid=01CRU&amp;lang=en_US&amp;offset=0&amp;query=any,contains,991001927549702656","Catalog Record")</f>
        <v/>
      </c>
      <c r="AV1085">
        <f>HYPERLINK("http://www.worldcat.org/oclc/24335170","WorldCat Record")</f>
        <v/>
      </c>
      <c r="AW1085" t="inlineStr">
        <is>
          <t>413397:spa</t>
        </is>
      </c>
      <c r="AX1085" t="inlineStr">
        <is>
          <t>24335170</t>
        </is>
      </c>
      <c r="AY1085" t="inlineStr">
        <is>
          <t>991001927549702656</t>
        </is>
      </c>
      <c r="AZ1085" t="inlineStr">
        <is>
          <t>991001927549702656</t>
        </is>
      </c>
      <c r="BA1085" t="inlineStr">
        <is>
          <t>2272150670002656</t>
        </is>
      </c>
      <c r="BB1085" t="inlineStr">
        <is>
          <t>BOOK</t>
        </is>
      </c>
      <c r="BD1085" t="inlineStr">
        <is>
          <t>9789505151240</t>
        </is>
      </c>
      <c r="BE1085" t="inlineStr">
        <is>
          <t>32285001832780</t>
        </is>
      </c>
      <c r="BF1085" t="inlineStr">
        <is>
          <t>893791847</t>
        </is>
      </c>
    </row>
    <row r="1086">
      <c r="A1086" t="inlineStr">
        <is>
          <t>No</t>
        </is>
      </c>
      <c r="B1086" t="inlineStr">
        <is>
          <t>CURAL</t>
        </is>
      </c>
      <c r="C1086" t="inlineStr">
        <is>
          <t>SHELVES</t>
        </is>
      </c>
      <c r="D1086" t="inlineStr">
        <is>
          <t>PQ7813.5.E5 F38 2000</t>
        </is>
      </c>
      <c r="E1086" t="inlineStr">
        <is>
          <t>0                      PQ 7813500E  5                  F  38          2000</t>
        </is>
      </c>
      <c r="F1086" t="inlineStr">
        <is>
          <t>The fat man from La Paz : contemporary fiction from Bolivia / edited by Rosario Santos ; introduction by Javier Sanjines.</t>
        </is>
      </c>
      <c r="H1086" t="inlineStr">
        <is>
          <t>No</t>
        </is>
      </c>
      <c r="I1086" t="inlineStr">
        <is>
          <t>1</t>
        </is>
      </c>
      <c r="J1086" t="inlineStr">
        <is>
          <t>No</t>
        </is>
      </c>
      <c r="K1086" t="inlineStr">
        <is>
          <t>No</t>
        </is>
      </c>
      <c r="L1086" t="inlineStr">
        <is>
          <t>0</t>
        </is>
      </c>
      <c r="N1086" t="inlineStr">
        <is>
          <t>New York : Seven Stories Press : Distributed to the U.S. book trade by Publishers Group West, c2000.</t>
        </is>
      </c>
      <c r="O1086" t="inlineStr">
        <is>
          <t>2000</t>
        </is>
      </c>
      <c r="P1086" t="inlineStr">
        <is>
          <t>A Seven Stories Press 1st ed.</t>
        </is>
      </c>
      <c r="Q1086" t="inlineStr">
        <is>
          <t>eng</t>
        </is>
      </c>
      <c r="R1086" t="inlineStr">
        <is>
          <t>nyu</t>
        </is>
      </c>
      <c r="T1086" t="inlineStr">
        <is>
          <t xml:space="preserve">PQ </t>
        </is>
      </c>
      <c r="U1086" t="n">
        <v>1</v>
      </c>
      <c r="V1086" t="n">
        <v>1</v>
      </c>
      <c r="W1086" t="inlineStr">
        <is>
          <t>2000-10-26</t>
        </is>
      </c>
      <c r="X1086" t="inlineStr">
        <is>
          <t>2000-10-26</t>
        </is>
      </c>
      <c r="Y1086" t="inlineStr">
        <is>
          <t>2000-10-26</t>
        </is>
      </c>
      <c r="Z1086" t="inlineStr">
        <is>
          <t>2000-10-26</t>
        </is>
      </c>
      <c r="AA1086" t="n">
        <v>233</v>
      </c>
      <c r="AB1086" t="n">
        <v>212</v>
      </c>
      <c r="AC1086" t="n">
        <v>216</v>
      </c>
      <c r="AD1086" t="n">
        <v>2</v>
      </c>
      <c r="AE1086" t="n">
        <v>2</v>
      </c>
      <c r="AF1086" t="n">
        <v>12</v>
      </c>
      <c r="AG1086" t="n">
        <v>12</v>
      </c>
      <c r="AH1086" t="n">
        <v>2</v>
      </c>
      <c r="AI1086" t="n">
        <v>2</v>
      </c>
      <c r="AJ1086" t="n">
        <v>6</v>
      </c>
      <c r="AK1086" t="n">
        <v>6</v>
      </c>
      <c r="AL1086" t="n">
        <v>8</v>
      </c>
      <c r="AM1086" t="n">
        <v>8</v>
      </c>
      <c r="AN1086" t="n">
        <v>1</v>
      </c>
      <c r="AO1086" t="n">
        <v>1</v>
      </c>
      <c r="AP1086" t="n">
        <v>0</v>
      </c>
      <c r="AQ1086" t="n">
        <v>0</v>
      </c>
      <c r="AR1086" t="inlineStr">
        <is>
          <t>No</t>
        </is>
      </c>
      <c r="AS1086" t="inlineStr">
        <is>
          <t>Yes</t>
        </is>
      </c>
      <c r="AT1086">
        <f>HYPERLINK("http://catalog.hathitrust.org/Record/004130844","HathiTrust Record")</f>
        <v/>
      </c>
      <c r="AU1086">
        <f>HYPERLINK("https://creighton-primo.hosted.exlibrisgroup.com/primo-explore/search?tab=default_tab&amp;search_scope=EVERYTHING&amp;vid=01CRU&amp;lang=en_US&amp;offset=0&amp;query=any,contains,991003319779702656","Catalog Record")</f>
        <v/>
      </c>
      <c r="AV1086">
        <f>HYPERLINK("http://www.worldcat.org/oclc/43286800","WorldCat Record")</f>
        <v/>
      </c>
      <c r="AW1086" t="inlineStr">
        <is>
          <t>837048352:eng</t>
        </is>
      </c>
      <c r="AX1086" t="inlineStr">
        <is>
          <t>43286800</t>
        </is>
      </c>
      <c r="AY1086" t="inlineStr">
        <is>
          <t>991003319779702656</t>
        </is>
      </c>
      <c r="AZ1086" t="inlineStr">
        <is>
          <t>991003319779702656</t>
        </is>
      </c>
      <c r="BA1086" t="inlineStr">
        <is>
          <t>2258240740002656</t>
        </is>
      </c>
      <c r="BB1086" t="inlineStr">
        <is>
          <t>BOOK</t>
        </is>
      </c>
      <c r="BD1086" t="inlineStr">
        <is>
          <t>9781583220306</t>
        </is>
      </c>
      <c r="BE1086" t="inlineStr">
        <is>
          <t>32285004260716</t>
        </is>
      </c>
      <c r="BF1086" t="inlineStr">
        <is>
          <t>893434887</t>
        </is>
      </c>
    </row>
    <row r="1087">
      <c r="A1087" t="inlineStr">
        <is>
          <t>No</t>
        </is>
      </c>
      <c r="B1087" t="inlineStr">
        <is>
          <t>CURAL</t>
        </is>
      </c>
      <c r="C1087" t="inlineStr">
        <is>
          <t>SHELVES</t>
        </is>
      </c>
      <c r="D1087" t="inlineStr">
        <is>
          <t>PQ7820.P39 M3713 2003</t>
        </is>
      </c>
      <c r="E1087" t="inlineStr">
        <is>
          <t>0                      PQ 7820000P  39                 M  3713        2003</t>
        </is>
      </c>
      <c r="F1087" t="inlineStr">
        <is>
          <t>The matter of desire / Edmundo Paz Soldaan ; translated by Lisa Carter.</t>
        </is>
      </c>
      <c r="H1087" t="inlineStr">
        <is>
          <t>No</t>
        </is>
      </c>
      <c r="I1087" t="inlineStr">
        <is>
          <t>1</t>
        </is>
      </c>
      <c r="J1087" t="inlineStr">
        <is>
          <t>No</t>
        </is>
      </c>
      <c r="K1087" t="inlineStr">
        <is>
          <t>No</t>
        </is>
      </c>
      <c r="L1087" t="inlineStr">
        <is>
          <t>0</t>
        </is>
      </c>
      <c r="M1087" t="inlineStr">
        <is>
          <t>Paz Soldán, Edmundo, 1967-</t>
        </is>
      </c>
      <c r="N1087" t="inlineStr">
        <is>
          <t>Boston : Houghton Mifflin, c2003.</t>
        </is>
      </c>
      <c r="O1087" t="inlineStr">
        <is>
          <t>2003</t>
        </is>
      </c>
      <c r="Q1087" t="inlineStr">
        <is>
          <t>eng</t>
        </is>
      </c>
      <c r="R1087" t="inlineStr">
        <is>
          <t>mau</t>
        </is>
      </c>
      <c r="T1087" t="inlineStr">
        <is>
          <t xml:space="preserve">PQ </t>
        </is>
      </c>
      <c r="U1087" t="n">
        <v>1</v>
      </c>
      <c r="V1087" t="n">
        <v>1</v>
      </c>
      <c r="W1087" t="inlineStr">
        <is>
          <t>2004-07-28</t>
        </is>
      </c>
      <c r="X1087" t="inlineStr">
        <is>
          <t>2004-07-28</t>
        </is>
      </c>
      <c r="Y1087" t="inlineStr">
        <is>
          <t>2004-07-28</t>
        </is>
      </c>
      <c r="Z1087" t="inlineStr">
        <is>
          <t>2004-07-28</t>
        </is>
      </c>
      <c r="AA1087" t="n">
        <v>333</v>
      </c>
      <c r="AB1087" t="n">
        <v>321</v>
      </c>
      <c r="AC1087" t="n">
        <v>350</v>
      </c>
      <c r="AD1087" t="n">
        <v>2</v>
      </c>
      <c r="AE1087" t="n">
        <v>3</v>
      </c>
      <c r="AF1087" t="n">
        <v>11</v>
      </c>
      <c r="AG1087" t="n">
        <v>13</v>
      </c>
      <c r="AH1087" t="n">
        <v>2</v>
      </c>
      <c r="AI1087" t="n">
        <v>3</v>
      </c>
      <c r="AJ1087" t="n">
        <v>4</v>
      </c>
      <c r="AK1087" t="n">
        <v>5</v>
      </c>
      <c r="AL1087" t="n">
        <v>7</v>
      </c>
      <c r="AM1087" t="n">
        <v>7</v>
      </c>
      <c r="AN1087" t="n">
        <v>1</v>
      </c>
      <c r="AO1087" t="n">
        <v>2</v>
      </c>
      <c r="AP1087" t="n">
        <v>0</v>
      </c>
      <c r="AQ1087" t="n">
        <v>0</v>
      </c>
      <c r="AR1087" t="inlineStr">
        <is>
          <t>No</t>
        </is>
      </c>
      <c r="AS1087" t="inlineStr">
        <is>
          <t>No</t>
        </is>
      </c>
      <c r="AU1087">
        <f>HYPERLINK("https://creighton-primo.hosted.exlibrisgroup.com/primo-explore/search?tab=default_tab&amp;search_scope=EVERYTHING&amp;vid=01CRU&amp;lang=en_US&amp;offset=0&amp;query=any,contains,991004288819702656","Catalog Record")</f>
        <v/>
      </c>
      <c r="AV1087">
        <f>HYPERLINK("http://www.worldcat.org/oclc/53953754","WorldCat Record")</f>
        <v/>
      </c>
      <c r="AW1087" t="inlineStr">
        <is>
          <t>12081901:eng</t>
        </is>
      </c>
      <c r="AX1087" t="inlineStr">
        <is>
          <t>53953754</t>
        </is>
      </c>
      <c r="AY1087" t="inlineStr">
        <is>
          <t>991004288819702656</t>
        </is>
      </c>
      <c r="AZ1087" t="inlineStr">
        <is>
          <t>991004288819702656</t>
        </is>
      </c>
      <c r="BA1087" t="inlineStr">
        <is>
          <t>2254851870002656</t>
        </is>
      </c>
      <c r="BB1087" t="inlineStr">
        <is>
          <t>BOOK</t>
        </is>
      </c>
      <c r="BD1087" t="inlineStr">
        <is>
          <t>9780618395576</t>
        </is>
      </c>
      <c r="BE1087" t="inlineStr">
        <is>
          <t>32285004926183</t>
        </is>
      </c>
      <c r="BF1087" t="inlineStr">
        <is>
          <t>893417440</t>
        </is>
      </c>
    </row>
    <row r="1088">
      <c r="A1088" t="inlineStr">
        <is>
          <t>No</t>
        </is>
      </c>
      <c r="B1088" t="inlineStr">
        <is>
          <t>CURAL</t>
        </is>
      </c>
      <c r="C1088" t="inlineStr">
        <is>
          <t>SHELVES</t>
        </is>
      </c>
      <c r="D1088" t="inlineStr">
        <is>
          <t>PQ7911 .F67</t>
        </is>
      </c>
      <c r="E1088" t="inlineStr">
        <is>
          <t>0                      PQ 7911000F  67</t>
        </is>
      </c>
      <c r="F1088" t="inlineStr">
        <is>
          <t>Chilean literature : a working bibliography of secondary sources / David William Foster.</t>
        </is>
      </c>
      <c r="H1088" t="inlineStr">
        <is>
          <t>No</t>
        </is>
      </c>
      <c r="I1088" t="inlineStr">
        <is>
          <t>1</t>
        </is>
      </c>
      <c r="J1088" t="inlineStr">
        <is>
          <t>No</t>
        </is>
      </c>
      <c r="K1088" t="inlineStr">
        <is>
          <t>No</t>
        </is>
      </c>
      <c r="L1088" t="inlineStr">
        <is>
          <t>0</t>
        </is>
      </c>
      <c r="M1088" t="inlineStr">
        <is>
          <t>Foster, David William.</t>
        </is>
      </c>
      <c r="N1088" t="inlineStr">
        <is>
          <t>Boston : G. K. Hall, c1978.</t>
        </is>
      </c>
      <c r="O1088" t="inlineStr">
        <is>
          <t>1978</t>
        </is>
      </c>
      <c r="Q1088" t="inlineStr">
        <is>
          <t>eng</t>
        </is>
      </c>
      <c r="R1088" t="inlineStr">
        <is>
          <t>mau</t>
        </is>
      </c>
      <c r="S1088" t="inlineStr">
        <is>
          <t>A Reference publication in Latin American studies</t>
        </is>
      </c>
      <c r="T1088" t="inlineStr">
        <is>
          <t xml:space="preserve">PQ </t>
        </is>
      </c>
      <c r="U1088" t="n">
        <v>2</v>
      </c>
      <c r="V1088" t="n">
        <v>2</v>
      </c>
      <c r="W1088" t="inlineStr">
        <is>
          <t>1992-12-03</t>
        </is>
      </c>
      <c r="X1088" t="inlineStr">
        <is>
          <t>1992-12-03</t>
        </is>
      </c>
      <c r="Y1088" t="inlineStr">
        <is>
          <t>1991-08-13</t>
        </is>
      </c>
      <c r="Z1088" t="inlineStr">
        <is>
          <t>1991-08-13</t>
        </is>
      </c>
      <c r="AA1088" t="n">
        <v>229</v>
      </c>
      <c r="AB1088" t="n">
        <v>180</v>
      </c>
      <c r="AC1088" t="n">
        <v>187</v>
      </c>
      <c r="AD1088" t="n">
        <v>2</v>
      </c>
      <c r="AE1088" t="n">
        <v>2</v>
      </c>
      <c r="AF1088" t="n">
        <v>6</v>
      </c>
      <c r="AG1088" t="n">
        <v>6</v>
      </c>
      <c r="AH1088" t="n">
        <v>1</v>
      </c>
      <c r="AI1088" t="n">
        <v>1</v>
      </c>
      <c r="AJ1088" t="n">
        <v>2</v>
      </c>
      <c r="AK1088" t="n">
        <v>2</v>
      </c>
      <c r="AL1088" t="n">
        <v>4</v>
      </c>
      <c r="AM1088" t="n">
        <v>4</v>
      </c>
      <c r="AN1088" t="n">
        <v>1</v>
      </c>
      <c r="AO1088" t="n">
        <v>1</v>
      </c>
      <c r="AP1088" t="n">
        <v>0</v>
      </c>
      <c r="AQ1088" t="n">
        <v>0</v>
      </c>
      <c r="AR1088" t="inlineStr">
        <is>
          <t>No</t>
        </is>
      </c>
      <c r="AS1088" t="inlineStr">
        <is>
          <t>Yes</t>
        </is>
      </c>
      <c r="AT1088">
        <f>HYPERLINK("http://catalog.hathitrust.org/Record/000131220","HathiTrust Record")</f>
        <v/>
      </c>
      <c r="AU1088">
        <f>HYPERLINK("https://creighton-primo.hosted.exlibrisgroup.com/primo-explore/search?tab=default_tab&amp;search_scope=EVERYTHING&amp;vid=01CRU&amp;lang=en_US&amp;offset=0&amp;query=any,contains,991004497689702656","Catalog Record")</f>
        <v/>
      </c>
      <c r="AV1088">
        <f>HYPERLINK("http://www.worldcat.org/oclc/3706184","WorldCat Record")</f>
        <v/>
      </c>
      <c r="AW1088" t="inlineStr">
        <is>
          <t>3856746889:eng</t>
        </is>
      </c>
      <c r="AX1088" t="inlineStr">
        <is>
          <t>3706184</t>
        </is>
      </c>
      <c r="AY1088" t="inlineStr">
        <is>
          <t>991004497689702656</t>
        </is>
      </c>
      <c r="AZ1088" t="inlineStr">
        <is>
          <t>991004497689702656</t>
        </is>
      </c>
      <c r="BA1088" t="inlineStr">
        <is>
          <t>2265066180002656</t>
        </is>
      </c>
      <c r="BB1088" t="inlineStr">
        <is>
          <t>BOOK</t>
        </is>
      </c>
      <c r="BD1088" t="inlineStr">
        <is>
          <t>9780816181803</t>
        </is>
      </c>
      <c r="BE1088" t="inlineStr">
        <is>
          <t>32285000683861</t>
        </is>
      </c>
      <c r="BF1088" t="inlineStr">
        <is>
          <t>893423882</t>
        </is>
      </c>
    </row>
    <row r="1089">
      <c r="A1089" t="inlineStr">
        <is>
          <t>No</t>
        </is>
      </c>
      <c r="B1089" t="inlineStr">
        <is>
          <t>CURAL</t>
        </is>
      </c>
      <c r="C1089" t="inlineStr">
        <is>
          <t>SHELVES</t>
        </is>
      </c>
      <c r="D1089" t="inlineStr">
        <is>
          <t>PQ7911 .L31613 2000</t>
        </is>
      </c>
      <c r="E1089" t="inlineStr">
        <is>
          <t>0                      PQ 7911000L  31613       2000</t>
        </is>
      </c>
      <c r="F1089" t="inlineStr">
        <is>
          <t>Literary memoirs / by José Victorino Lastarria ; translated from the Spanish by R. Kelly Washbourne ; edited and with an introduction by Frederick M. Nunn.</t>
        </is>
      </c>
      <c r="H1089" t="inlineStr">
        <is>
          <t>No</t>
        </is>
      </c>
      <c r="I1089" t="inlineStr">
        <is>
          <t>1</t>
        </is>
      </c>
      <c r="J1089" t="inlineStr">
        <is>
          <t>No</t>
        </is>
      </c>
      <c r="K1089" t="inlineStr">
        <is>
          <t>No</t>
        </is>
      </c>
      <c r="L1089" t="inlineStr">
        <is>
          <t>0</t>
        </is>
      </c>
      <c r="M1089" t="inlineStr">
        <is>
          <t>Lastarria, José Victorino, 1817-1888.</t>
        </is>
      </c>
      <c r="N1089" t="inlineStr">
        <is>
          <t>Oxford ; New York : Oxford University Press, 2000.</t>
        </is>
      </c>
      <c r="O1089" t="inlineStr">
        <is>
          <t>2000</t>
        </is>
      </c>
      <c r="Q1089" t="inlineStr">
        <is>
          <t>eng</t>
        </is>
      </c>
      <c r="R1089" t="inlineStr">
        <is>
          <t>enk</t>
        </is>
      </c>
      <c r="S1089" t="inlineStr">
        <is>
          <t>Library of Latin America</t>
        </is>
      </c>
      <c r="T1089" t="inlineStr">
        <is>
          <t xml:space="preserve">PQ </t>
        </is>
      </c>
      <c r="U1089" t="n">
        <v>2</v>
      </c>
      <c r="V1089" t="n">
        <v>2</v>
      </c>
      <c r="W1089" t="inlineStr">
        <is>
          <t>2001-08-31</t>
        </is>
      </c>
      <c r="X1089" t="inlineStr">
        <is>
          <t>2001-08-31</t>
        </is>
      </c>
      <c r="Y1089" t="inlineStr">
        <is>
          <t>2000-02-28</t>
        </is>
      </c>
      <c r="Z1089" t="inlineStr">
        <is>
          <t>2000-02-28</t>
        </is>
      </c>
      <c r="AA1089" t="n">
        <v>306</v>
      </c>
      <c r="AB1089" t="n">
        <v>281</v>
      </c>
      <c r="AC1089" t="n">
        <v>817</v>
      </c>
      <c r="AD1089" t="n">
        <v>2</v>
      </c>
      <c r="AE1089" t="n">
        <v>6</v>
      </c>
      <c r="AF1089" t="n">
        <v>17</v>
      </c>
      <c r="AG1089" t="n">
        <v>32</v>
      </c>
      <c r="AH1089" t="n">
        <v>5</v>
      </c>
      <c r="AI1089" t="n">
        <v>11</v>
      </c>
      <c r="AJ1089" t="n">
        <v>6</v>
      </c>
      <c r="AK1089" t="n">
        <v>8</v>
      </c>
      <c r="AL1089" t="n">
        <v>11</v>
      </c>
      <c r="AM1089" t="n">
        <v>15</v>
      </c>
      <c r="AN1089" t="n">
        <v>1</v>
      </c>
      <c r="AO1089" t="n">
        <v>5</v>
      </c>
      <c r="AP1089" t="n">
        <v>0</v>
      </c>
      <c r="AQ1089" t="n">
        <v>1</v>
      </c>
      <c r="AR1089" t="inlineStr">
        <is>
          <t>No</t>
        </is>
      </c>
      <c r="AS1089" t="inlineStr">
        <is>
          <t>No</t>
        </is>
      </c>
      <c r="AU1089">
        <f>HYPERLINK("https://creighton-primo.hosted.exlibrisgroup.com/primo-explore/search?tab=default_tab&amp;search_scope=EVERYTHING&amp;vid=01CRU&amp;lang=en_US&amp;offset=0&amp;query=any,contains,991003046769702656","Catalog Record")</f>
        <v/>
      </c>
      <c r="AV1089">
        <f>HYPERLINK("http://www.worldcat.org/oclc/42660670","WorldCat Record")</f>
        <v/>
      </c>
      <c r="AW1089" t="inlineStr">
        <is>
          <t>1400193503:eng</t>
        </is>
      </c>
      <c r="AX1089" t="inlineStr">
        <is>
          <t>42660670</t>
        </is>
      </c>
      <c r="AY1089" t="inlineStr">
        <is>
          <t>991003046769702656</t>
        </is>
      </c>
      <c r="AZ1089" t="inlineStr">
        <is>
          <t>991003046769702656</t>
        </is>
      </c>
      <c r="BA1089" t="inlineStr">
        <is>
          <t>2257146640002656</t>
        </is>
      </c>
      <c r="BB1089" t="inlineStr">
        <is>
          <t>BOOK</t>
        </is>
      </c>
      <c r="BD1089" t="inlineStr">
        <is>
          <t>9780195116854</t>
        </is>
      </c>
      <c r="BE1089" t="inlineStr">
        <is>
          <t>32285003664868</t>
        </is>
      </c>
      <c r="BF1089" t="inlineStr">
        <is>
          <t>893774344</t>
        </is>
      </c>
    </row>
    <row r="1090">
      <c r="A1090" t="inlineStr">
        <is>
          <t>No</t>
        </is>
      </c>
      <c r="B1090" t="inlineStr">
        <is>
          <t>CURAL</t>
        </is>
      </c>
      <c r="C1090" t="inlineStr">
        <is>
          <t>SHELVES</t>
        </is>
      </c>
      <c r="D1090" t="inlineStr">
        <is>
          <t>PQ7925.R56 C83 1999</t>
        </is>
      </c>
      <c r="E1090" t="inlineStr">
        <is>
          <t>0                      PQ 7925000R  56                 C  83          1999</t>
        </is>
      </c>
      <c r="F1090" t="inlineStr">
        <is>
          <t>La Quintrala en la literatura chilena / Ivonne Cuadra.</t>
        </is>
      </c>
      <c r="H1090" t="inlineStr">
        <is>
          <t>No</t>
        </is>
      </c>
      <c r="I1090" t="inlineStr">
        <is>
          <t>1</t>
        </is>
      </c>
      <c r="J1090" t="inlineStr">
        <is>
          <t>No</t>
        </is>
      </c>
      <c r="K1090" t="inlineStr">
        <is>
          <t>No</t>
        </is>
      </c>
      <c r="L1090" t="inlineStr">
        <is>
          <t>0</t>
        </is>
      </c>
      <c r="M1090" t="inlineStr">
        <is>
          <t>Cuadra, Ivonne.</t>
        </is>
      </c>
      <c r="N1090" t="inlineStr">
        <is>
          <t>Madrid : Editorial Pliegos, c1999.</t>
        </is>
      </c>
      <c r="O1090" t="inlineStr">
        <is>
          <t>1999</t>
        </is>
      </c>
      <c r="Q1090" t="inlineStr">
        <is>
          <t>spa</t>
        </is>
      </c>
      <c r="R1090" t="inlineStr">
        <is>
          <t xml:space="preserve">sp </t>
        </is>
      </c>
      <c r="S1090" t="inlineStr">
        <is>
          <t>Pliegos de ensayo ; 134</t>
        </is>
      </c>
      <c r="T1090" t="inlineStr">
        <is>
          <t xml:space="preserve">PQ </t>
        </is>
      </c>
      <c r="U1090" t="n">
        <v>3</v>
      </c>
      <c r="V1090" t="n">
        <v>3</v>
      </c>
      <c r="W1090" t="inlineStr">
        <is>
          <t>2000-02-18</t>
        </is>
      </c>
      <c r="X1090" t="inlineStr">
        <is>
          <t>2000-02-18</t>
        </is>
      </c>
      <c r="Y1090" t="inlineStr">
        <is>
          <t>1999-11-11</t>
        </is>
      </c>
      <c r="Z1090" t="inlineStr">
        <is>
          <t>1999-11-11</t>
        </is>
      </c>
      <c r="AA1090" t="n">
        <v>117</v>
      </c>
      <c r="AB1090" t="n">
        <v>107</v>
      </c>
      <c r="AC1090" t="n">
        <v>109</v>
      </c>
      <c r="AD1090" t="n">
        <v>1</v>
      </c>
      <c r="AE1090" t="n">
        <v>1</v>
      </c>
      <c r="AF1090" t="n">
        <v>2</v>
      </c>
      <c r="AG1090" t="n">
        <v>2</v>
      </c>
      <c r="AH1090" t="n">
        <v>1</v>
      </c>
      <c r="AI1090" t="n">
        <v>1</v>
      </c>
      <c r="AJ1090" t="n">
        <v>1</v>
      </c>
      <c r="AK1090" t="n">
        <v>1</v>
      </c>
      <c r="AL1090" t="n">
        <v>0</v>
      </c>
      <c r="AM1090" t="n">
        <v>0</v>
      </c>
      <c r="AN1090" t="n">
        <v>0</v>
      </c>
      <c r="AO1090" t="n">
        <v>0</v>
      </c>
      <c r="AP1090" t="n">
        <v>0</v>
      </c>
      <c r="AQ1090" t="n">
        <v>0</v>
      </c>
      <c r="AR1090" t="inlineStr">
        <is>
          <t>No</t>
        </is>
      </c>
      <c r="AS1090" t="inlineStr">
        <is>
          <t>Yes</t>
        </is>
      </c>
      <c r="AT1090">
        <f>HYPERLINK("http://catalog.hathitrust.org/Record/004029235","HathiTrust Record")</f>
        <v/>
      </c>
      <c r="AU1090">
        <f>HYPERLINK("https://creighton-primo.hosted.exlibrisgroup.com/primo-explore/search?tab=default_tab&amp;search_scope=EVERYTHING&amp;vid=01CRU&amp;lang=en_US&amp;offset=0&amp;query=any,contains,991003036839702656","Catalog Record")</f>
        <v/>
      </c>
      <c r="AV1090">
        <f>HYPERLINK("http://www.worldcat.org/oclc/41872270","WorldCat Record")</f>
        <v/>
      </c>
      <c r="AW1090" t="inlineStr">
        <is>
          <t>350291743:spa</t>
        </is>
      </c>
      <c r="AX1090" t="inlineStr">
        <is>
          <t>41872270</t>
        </is>
      </c>
      <c r="AY1090" t="inlineStr">
        <is>
          <t>991003036839702656</t>
        </is>
      </c>
      <c r="AZ1090" t="inlineStr">
        <is>
          <t>991003036839702656</t>
        </is>
      </c>
      <c r="BA1090" t="inlineStr">
        <is>
          <t>2265982580002656</t>
        </is>
      </c>
      <c r="BB1090" t="inlineStr">
        <is>
          <t>BOOK</t>
        </is>
      </c>
      <c r="BD1090" t="inlineStr">
        <is>
          <t>9788488435811</t>
        </is>
      </c>
      <c r="BE1090" t="inlineStr">
        <is>
          <t>32285003621199</t>
        </is>
      </c>
      <c r="BF1090" t="inlineStr">
        <is>
          <t>893623082</t>
        </is>
      </c>
    </row>
    <row r="1091">
      <c r="A1091" t="inlineStr">
        <is>
          <t>No</t>
        </is>
      </c>
      <c r="B1091" t="inlineStr">
        <is>
          <t>CURAL</t>
        </is>
      </c>
      <c r="C1091" t="inlineStr">
        <is>
          <t>SHELVES</t>
        </is>
      </c>
      <c r="D1091" t="inlineStr">
        <is>
          <t>PQ7954 .L54 1997</t>
        </is>
      </c>
      <c r="E1091" t="inlineStr">
        <is>
          <t>0                      PQ 7954000L  54          1997</t>
        </is>
      </c>
      <c r="F1091" t="inlineStr">
        <is>
          <t>El circo en llamas : una crítica de la vida / Enrique Lihn ; edición de Germán Marín.</t>
        </is>
      </c>
      <c r="H1091" t="inlineStr">
        <is>
          <t>No</t>
        </is>
      </c>
      <c r="I1091" t="inlineStr">
        <is>
          <t>1</t>
        </is>
      </c>
      <c r="J1091" t="inlineStr">
        <is>
          <t>No</t>
        </is>
      </c>
      <c r="K1091" t="inlineStr">
        <is>
          <t>No</t>
        </is>
      </c>
      <c r="L1091" t="inlineStr">
        <is>
          <t>0</t>
        </is>
      </c>
      <c r="M1091" t="inlineStr">
        <is>
          <t>Lihn, Enrique.</t>
        </is>
      </c>
      <c r="N1091" t="inlineStr">
        <is>
          <t>Santiago, Chile : LOM Ediciones, 1997.</t>
        </is>
      </c>
      <c r="O1091" t="inlineStr">
        <is>
          <t>1997</t>
        </is>
      </c>
      <c r="P1091" t="inlineStr">
        <is>
          <t>1. ed.</t>
        </is>
      </c>
      <c r="Q1091" t="inlineStr">
        <is>
          <t>spa</t>
        </is>
      </c>
      <c r="R1091" t="inlineStr">
        <is>
          <t xml:space="preserve">cl </t>
        </is>
      </c>
      <c r="S1091" t="inlineStr">
        <is>
          <t>Colección Texto sobre texto</t>
        </is>
      </c>
      <c r="T1091" t="inlineStr">
        <is>
          <t xml:space="preserve">PQ </t>
        </is>
      </c>
      <c r="U1091" t="n">
        <v>1</v>
      </c>
      <c r="V1091" t="n">
        <v>1</v>
      </c>
      <c r="W1091" t="inlineStr">
        <is>
          <t>2003-04-02</t>
        </is>
      </c>
      <c r="X1091" t="inlineStr">
        <is>
          <t>2003-04-02</t>
        </is>
      </c>
      <c r="Y1091" t="inlineStr">
        <is>
          <t>2003-04-02</t>
        </is>
      </c>
      <c r="Z1091" t="inlineStr">
        <is>
          <t>2003-04-02</t>
        </is>
      </c>
      <c r="AA1091" t="n">
        <v>85</v>
      </c>
      <c r="AB1091" t="n">
        <v>68</v>
      </c>
      <c r="AC1091" t="n">
        <v>68</v>
      </c>
      <c r="AD1091" t="n">
        <v>1</v>
      </c>
      <c r="AE1091" t="n">
        <v>1</v>
      </c>
      <c r="AF1091" t="n">
        <v>4</v>
      </c>
      <c r="AG1091" t="n">
        <v>4</v>
      </c>
      <c r="AH1091" t="n">
        <v>1</v>
      </c>
      <c r="AI1091" t="n">
        <v>1</v>
      </c>
      <c r="AJ1091" t="n">
        <v>2</v>
      </c>
      <c r="AK1091" t="n">
        <v>2</v>
      </c>
      <c r="AL1091" t="n">
        <v>4</v>
      </c>
      <c r="AM1091" t="n">
        <v>4</v>
      </c>
      <c r="AN1091" t="n">
        <v>0</v>
      </c>
      <c r="AO1091" t="n">
        <v>0</v>
      </c>
      <c r="AP1091" t="n">
        <v>0</v>
      </c>
      <c r="AQ1091" t="n">
        <v>0</v>
      </c>
      <c r="AR1091" t="inlineStr">
        <is>
          <t>No</t>
        </is>
      </c>
      <c r="AS1091" t="inlineStr">
        <is>
          <t>No</t>
        </is>
      </c>
      <c r="AU1091">
        <f>HYPERLINK("https://creighton-primo.hosted.exlibrisgroup.com/primo-explore/search?tab=default_tab&amp;search_scope=EVERYTHING&amp;vid=01CRU&amp;lang=en_US&amp;offset=0&amp;query=any,contains,991004028039702656","Catalog Record")</f>
        <v/>
      </c>
      <c r="AV1091">
        <f>HYPERLINK("http://www.worldcat.org/oclc/37473418","WorldCat Record")</f>
        <v/>
      </c>
      <c r="AW1091" t="inlineStr">
        <is>
          <t>371631063:spa</t>
        </is>
      </c>
      <c r="AX1091" t="inlineStr">
        <is>
          <t>37473418</t>
        </is>
      </c>
      <c r="AY1091" t="inlineStr">
        <is>
          <t>991004028039702656</t>
        </is>
      </c>
      <c r="AZ1091" t="inlineStr">
        <is>
          <t>991004028039702656</t>
        </is>
      </c>
      <c r="BA1091" t="inlineStr">
        <is>
          <t>2260809210002656</t>
        </is>
      </c>
      <c r="BB1091" t="inlineStr">
        <is>
          <t>BOOK</t>
        </is>
      </c>
      <c r="BD1091" t="inlineStr">
        <is>
          <t>9789562820196</t>
        </is>
      </c>
      <c r="BE1091" t="inlineStr">
        <is>
          <t>32285004689278</t>
        </is>
      </c>
      <c r="BF1091" t="inlineStr">
        <is>
          <t>893775513</t>
        </is>
      </c>
    </row>
    <row r="1092">
      <c r="A1092" t="inlineStr">
        <is>
          <t>No</t>
        </is>
      </c>
      <c r="B1092" t="inlineStr">
        <is>
          <t>CURAL</t>
        </is>
      </c>
      <c r="C1092" t="inlineStr">
        <is>
          <t>SHELVES</t>
        </is>
      </c>
      <c r="D1092" t="inlineStr">
        <is>
          <t>PQ7997 .G6 1991</t>
        </is>
      </c>
      <c r="E1092" t="inlineStr">
        <is>
          <t>0                      PQ 7997000G  6           1991</t>
        </is>
      </c>
      <c r="F1092" t="inlineStr">
        <is>
          <t>La novela chilena : los mitos degradados / Cedomil Goić.</t>
        </is>
      </c>
      <c r="H1092" t="inlineStr">
        <is>
          <t>No</t>
        </is>
      </c>
      <c r="I1092" t="inlineStr">
        <is>
          <t>1</t>
        </is>
      </c>
      <c r="J1092" t="inlineStr">
        <is>
          <t>No</t>
        </is>
      </c>
      <c r="K1092" t="inlineStr">
        <is>
          <t>No</t>
        </is>
      </c>
      <c r="L1092" t="inlineStr">
        <is>
          <t>0</t>
        </is>
      </c>
      <c r="M1092" t="inlineStr">
        <is>
          <t>Goić, Cedomil.</t>
        </is>
      </c>
      <c r="N1092" t="inlineStr">
        <is>
          <t>Santiago de Chile : Editorial Universitaria, [1991]</t>
        </is>
      </c>
      <c r="O1092" t="inlineStr">
        <is>
          <t>1991</t>
        </is>
      </c>
      <c r="P1092" t="inlineStr">
        <is>
          <t>[5. ed.]</t>
        </is>
      </c>
      <c r="Q1092" t="inlineStr">
        <is>
          <t>spa</t>
        </is>
      </c>
      <c r="R1092" t="inlineStr">
        <is>
          <t xml:space="preserve">cl </t>
        </is>
      </c>
      <c r="S1092" t="inlineStr">
        <is>
          <t>Colección El Saber y la cultura</t>
        </is>
      </c>
      <c r="T1092" t="inlineStr">
        <is>
          <t xml:space="preserve">PQ </t>
        </is>
      </c>
      <c r="U1092" t="n">
        <v>2</v>
      </c>
      <c r="V1092" t="n">
        <v>2</v>
      </c>
      <c r="W1092" t="inlineStr">
        <is>
          <t>1995-08-21</t>
        </is>
      </c>
      <c r="X1092" t="inlineStr">
        <is>
          <t>1995-08-21</t>
        </is>
      </c>
      <c r="Y1092" t="inlineStr">
        <is>
          <t>1995-08-17</t>
        </is>
      </c>
      <c r="Z1092" t="inlineStr">
        <is>
          <t>1995-08-17</t>
        </is>
      </c>
      <c r="AA1092" t="n">
        <v>58</v>
      </c>
      <c r="AB1092" t="n">
        <v>49</v>
      </c>
      <c r="AC1092" t="n">
        <v>223</v>
      </c>
      <c r="AD1092" t="n">
        <v>1</v>
      </c>
      <c r="AE1092" t="n">
        <v>2</v>
      </c>
      <c r="AF1092" t="n">
        <v>2</v>
      </c>
      <c r="AG1092" t="n">
        <v>12</v>
      </c>
      <c r="AH1092" t="n">
        <v>0</v>
      </c>
      <c r="AI1092" t="n">
        <v>4</v>
      </c>
      <c r="AJ1092" t="n">
        <v>1</v>
      </c>
      <c r="AK1092" t="n">
        <v>4</v>
      </c>
      <c r="AL1092" t="n">
        <v>1</v>
      </c>
      <c r="AM1092" t="n">
        <v>6</v>
      </c>
      <c r="AN1092" t="n">
        <v>0</v>
      </c>
      <c r="AO1092" t="n">
        <v>1</v>
      </c>
      <c r="AP1092" t="n">
        <v>0</v>
      </c>
      <c r="AQ1092" t="n">
        <v>0</v>
      </c>
      <c r="AR1092" t="inlineStr">
        <is>
          <t>No</t>
        </is>
      </c>
      <c r="AS1092" t="inlineStr">
        <is>
          <t>Yes</t>
        </is>
      </c>
      <c r="AT1092">
        <f>HYPERLINK("http://catalog.hathitrust.org/Record/002615187","HathiTrust Record")</f>
        <v/>
      </c>
      <c r="AU1092">
        <f>HYPERLINK("https://creighton-primo.hosted.exlibrisgroup.com/primo-explore/search?tab=default_tab&amp;search_scope=EVERYTHING&amp;vid=01CRU&amp;lang=en_US&amp;offset=0&amp;query=any,contains,991001908049702656","Catalog Record")</f>
        <v/>
      </c>
      <c r="AV1092">
        <f>HYPERLINK("http://www.worldcat.org/oclc/24102797","WorldCat Record")</f>
        <v/>
      </c>
      <c r="AW1092" t="inlineStr">
        <is>
          <t>365337184:spa</t>
        </is>
      </c>
      <c r="AX1092" t="inlineStr">
        <is>
          <t>24102797</t>
        </is>
      </c>
      <c r="AY1092" t="inlineStr">
        <is>
          <t>991001908049702656</t>
        </is>
      </c>
      <c r="AZ1092" t="inlineStr">
        <is>
          <t>991001908049702656</t>
        </is>
      </c>
      <c r="BA1092" t="inlineStr">
        <is>
          <t>2257955870002656</t>
        </is>
      </c>
      <c r="BB1092" t="inlineStr">
        <is>
          <t>BOOK</t>
        </is>
      </c>
      <c r="BE1092" t="inlineStr">
        <is>
          <t>32285002080272</t>
        </is>
      </c>
      <c r="BF1092" t="inlineStr">
        <is>
          <t>893779188</t>
        </is>
      </c>
    </row>
    <row r="1093">
      <c r="A1093" t="inlineStr">
        <is>
          <t>No</t>
        </is>
      </c>
      <c r="B1093" t="inlineStr">
        <is>
          <t>CURAL</t>
        </is>
      </c>
      <c r="C1093" t="inlineStr">
        <is>
          <t>SHELVES</t>
        </is>
      </c>
      <c r="D1093" t="inlineStr">
        <is>
          <t>PQ8003 .P7 1977</t>
        </is>
      </c>
      <c r="E1093" t="inlineStr">
        <is>
          <t>0                      PQ 8003000P  7           1977</t>
        </is>
      </c>
      <c r="F1093" t="inlineStr">
        <is>
          <t>La novela chilena actual : orígenes y desarrollo / José Promis.</t>
        </is>
      </c>
      <c r="H1093" t="inlineStr">
        <is>
          <t>No</t>
        </is>
      </c>
      <c r="I1093" t="inlineStr">
        <is>
          <t>1</t>
        </is>
      </c>
      <c r="J1093" t="inlineStr">
        <is>
          <t>No</t>
        </is>
      </c>
      <c r="K1093" t="inlineStr">
        <is>
          <t>No</t>
        </is>
      </c>
      <c r="L1093" t="inlineStr">
        <is>
          <t>0</t>
        </is>
      </c>
      <c r="M1093" t="inlineStr">
        <is>
          <t>Promis Ojeda, José.</t>
        </is>
      </c>
      <c r="N1093" t="inlineStr">
        <is>
          <t>Buenos Aires : F. García Cambeiro, c1977.</t>
        </is>
      </c>
      <c r="O1093" t="inlineStr">
        <is>
          <t>1977</t>
        </is>
      </c>
      <c r="Q1093" t="inlineStr">
        <is>
          <t>spa</t>
        </is>
      </c>
      <c r="R1093" t="inlineStr">
        <is>
          <t xml:space="preserve">ag </t>
        </is>
      </c>
      <c r="S1093" t="inlineStr">
        <is>
          <t>Colección Estudios latinoamericanos ; 25</t>
        </is>
      </c>
      <c r="T1093" t="inlineStr">
        <is>
          <t xml:space="preserve">PQ </t>
        </is>
      </c>
      <c r="U1093" t="n">
        <v>2</v>
      </c>
      <c r="V1093" t="n">
        <v>2</v>
      </c>
      <c r="W1093" t="inlineStr">
        <is>
          <t>1992-12-03</t>
        </is>
      </c>
      <c r="X1093" t="inlineStr">
        <is>
          <t>1992-12-03</t>
        </is>
      </c>
      <c r="Y1093" t="inlineStr">
        <is>
          <t>1991-12-15</t>
        </is>
      </c>
      <c r="Z1093" t="inlineStr">
        <is>
          <t>1991-12-15</t>
        </is>
      </c>
      <c r="AA1093" t="n">
        <v>158</v>
      </c>
      <c r="AB1093" t="n">
        <v>120</v>
      </c>
      <c r="AC1093" t="n">
        <v>123</v>
      </c>
      <c r="AD1093" t="n">
        <v>2</v>
      </c>
      <c r="AE1093" t="n">
        <v>2</v>
      </c>
      <c r="AF1093" t="n">
        <v>4</v>
      </c>
      <c r="AG1093" t="n">
        <v>4</v>
      </c>
      <c r="AH1093" t="n">
        <v>0</v>
      </c>
      <c r="AI1093" t="n">
        <v>0</v>
      </c>
      <c r="AJ1093" t="n">
        <v>3</v>
      </c>
      <c r="AK1093" t="n">
        <v>3</v>
      </c>
      <c r="AL1093" t="n">
        <v>2</v>
      </c>
      <c r="AM1093" t="n">
        <v>2</v>
      </c>
      <c r="AN1093" t="n">
        <v>1</v>
      </c>
      <c r="AO1093" t="n">
        <v>1</v>
      </c>
      <c r="AP1093" t="n">
        <v>0</v>
      </c>
      <c r="AQ1093" t="n">
        <v>0</v>
      </c>
      <c r="AR1093" t="inlineStr">
        <is>
          <t>No</t>
        </is>
      </c>
      <c r="AS1093" t="inlineStr">
        <is>
          <t>Yes</t>
        </is>
      </c>
      <c r="AT1093">
        <f>HYPERLINK("http://catalog.hathitrust.org/Record/000137421","HathiTrust Record")</f>
        <v/>
      </c>
      <c r="AU1093">
        <f>HYPERLINK("https://creighton-primo.hosted.exlibrisgroup.com/primo-explore/search?tab=default_tab&amp;search_scope=EVERYTHING&amp;vid=01CRU&amp;lang=en_US&amp;offset=0&amp;query=any,contains,991004541989702656","Catalog Record")</f>
        <v/>
      </c>
      <c r="AV1093">
        <f>HYPERLINK("http://www.worldcat.org/oclc/3898162","WorldCat Record")</f>
        <v/>
      </c>
      <c r="AW1093" t="inlineStr">
        <is>
          <t>348025474:spa</t>
        </is>
      </c>
      <c r="AX1093" t="inlineStr">
        <is>
          <t>3898162</t>
        </is>
      </c>
      <c r="AY1093" t="inlineStr">
        <is>
          <t>991004541989702656</t>
        </is>
      </c>
      <c r="AZ1093" t="inlineStr">
        <is>
          <t>991004541989702656</t>
        </is>
      </c>
      <c r="BA1093" t="inlineStr">
        <is>
          <t>2268887660002656</t>
        </is>
      </c>
      <c r="BB1093" t="inlineStr">
        <is>
          <t>BOOK</t>
        </is>
      </c>
      <c r="BE1093" t="inlineStr">
        <is>
          <t>32285000860402</t>
        </is>
      </c>
      <c r="BF1093" t="inlineStr">
        <is>
          <t>893519782</t>
        </is>
      </c>
    </row>
    <row r="1094">
      <c r="A1094" t="inlineStr">
        <is>
          <t>No</t>
        </is>
      </c>
      <c r="B1094" t="inlineStr">
        <is>
          <t>CURAL</t>
        </is>
      </c>
      <c r="C1094" t="inlineStr">
        <is>
          <t>SHELVES</t>
        </is>
      </c>
      <c r="D1094" t="inlineStr">
        <is>
          <t>PQ8057 .A57 1996</t>
        </is>
      </c>
      <c r="E1094" t="inlineStr">
        <is>
          <t>0                      PQ 8057000A  57          1996</t>
        </is>
      </c>
      <c r="F1094" t="inlineStr">
        <is>
          <t>Antología crítica de la poesía chilena / selección, introducción, notas y bibliografía de Naín Nómez.</t>
        </is>
      </c>
      <c r="G1094" t="inlineStr">
        <is>
          <t>V. 1</t>
        </is>
      </c>
      <c r="H1094" t="inlineStr">
        <is>
          <t>No</t>
        </is>
      </c>
      <c r="I1094" t="inlineStr">
        <is>
          <t>1</t>
        </is>
      </c>
      <c r="J1094" t="inlineStr">
        <is>
          <t>No</t>
        </is>
      </c>
      <c r="K1094" t="inlineStr">
        <is>
          <t>No</t>
        </is>
      </c>
      <c r="L1094" t="inlineStr">
        <is>
          <t>0</t>
        </is>
      </c>
      <c r="N1094" t="inlineStr">
        <is>
          <t>[Santiago, Chile] : LOM Ediciones, c1996-</t>
        </is>
      </c>
      <c r="O1094" t="inlineStr">
        <is>
          <t>1996</t>
        </is>
      </c>
      <c r="Q1094" t="inlineStr">
        <is>
          <t>spa</t>
        </is>
      </c>
      <c r="R1094" t="inlineStr">
        <is>
          <t xml:space="preserve">cl </t>
        </is>
      </c>
      <c r="S1094" t="inlineStr">
        <is>
          <t>Colección Entre mares</t>
        </is>
      </c>
      <c r="T1094" t="inlineStr">
        <is>
          <t xml:space="preserve">PQ </t>
        </is>
      </c>
      <c r="U1094" t="n">
        <v>1</v>
      </c>
      <c r="V1094" t="n">
        <v>1</v>
      </c>
      <c r="W1094" t="inlineStr">
        <is>
          <t>2003-04-02</t>
        </is>
      </c>
      <c r="X1094" t="inlineStr">
        <is>
          <t>2003-04-02</t>
        </is>
      </c>
      <c r="Y1094" t="inlineStr">
        <is>
          <t>2003-04-02</t>
        </is>
      </c>
      <c r="Z1094" t="inlineStr">
        <is>
          <t>2003-04-02</t>
        </is>
      </c>
      <c r="AA1094" t="n">
        <v>96</v>
      </c>
      <c r="AB1094" t="n">
        <v>78</v>
      </c>
      <c r="AC1094" t="n">
        <v>80</v>
      </c>
      <c r="AD1094" t="n">
        <v>1</v>
      </c>
      <c r="AE1094" t="n">
        <v>1</v>
      </c>
      <c r="AF1094" t="n">
        <v>4</v>
      </c>
      <c r="AG1094" t="n">
        <v>4</v>
      </c>
      <c r="AH1094" t="n">
        <v>2</v>
      </c>
      <c r="AI1094" t="n">
        <v>2</v>
      </c>
      <c r="AJ1094" t="n">
        <v>1</v>
      </c>
      <c r="AK1094" t="n">
        <v>1</v>
      </c>
      <c r="AL1094" t="n">
        <v>4</v>
      </c>
      <c r="AM1094" t="n">
        <v>4</v>
      </c>
      <c r="AN1094" t="n">
        <v>0</v>
      </c>
      <c r="AO1094" t="n">
        <v>0</v>
      </c>
      <c r="AP1094" t="n">
        <v>0</v>
      </c>
      <c r="AQ1094" t="n">
        <v>0</v>
      </c>
      <c r="AR1094" t="inlineStr">
        <is>
          <t>No</t>
        </is>
      </c>
      <c r="AS1094" t="inlineStr">
        <is>
          <t>Yes</t>
        </is>
      </c>
      <c r="AT1094">
        <f>HYPERLINK("http://catalog.hathitrust.org/Record/004176549","HathiTrust Record")</f>
        <v/>
      </c>
      <c r="AU1094">
        <f>HYPERLINK("https://creighton-primo.hosted.exlibrisgroup.com/primo-explore/search?tab=default_tab&amp;search_scope=EVERYTHING&amp;vid=01CRU&amp;lang=en_US&amp;offset=0&amp;query=any,contains,991004028159702656","Catalog Record")</f>
        <v/>
      </c>
      <c r="AV1094">
        <f>HYPERLINK("http://www.worldcat.org/oclc/37768382","WorldCat Record")</f>
        <v/>
      </c>
      <c r="AW1094" t="inlineStr">
        <is>
          <t>10278501461:spa</t>
        </is>
      </c>
      <c r="AX1094" t="inlineStr">
        <is>
          <t>37768382</t>
        </is>
      </c>
      <c r="AY1094" t="inlineStr">
        <is>
          <t>991004028159702656</t>
        </is>
      </c>
      <c r="AZ1094" t="inlineStr">
        <is>
          <t>991004028159702656</t>
        </is>
      </c>
      <c r="BA1094" t="inlineStr">
        <is>
          <t>2267928240002656</t>
        </is>
      </c>
      <c r="BB1094" t="inlineStr">
        <is>
          <t>BOOK</t>
        </is>
      </c>
      <c r="BD1094" t="inlineStr">
        <is>
          <t>9789562823258</t>
        </is>
      </c>
      <c r="BE1094" t="inlineStr">
        <is>
          <t>32285004689286</t>
        </is>
      </c>
      <c r="BF1094" t="inlineStr">
        <is>
          <t>893593180</t>
        </is>
      </c>
    </row>
    <row r="1095">
      <c r="A1095" t="inlineStr">
        <is>
          <t>No</t>
        </is>
      </c>
      <c r="B1095" t="inlineStr">
        <is>
          <t>CURAL</t>
        </is>
      </c>
      <c r="C1095" t="inlineStr">
        <is>
          <t>SHELVES</t>
        </is>
      </c>
      <c r="D1095" t="inlineStr">
        <is>
          <t>PQ8058 .A78 2001</t>
        </is>
      </c>
      <c r="E1095" t="inlineStr">
        <is>
          <t>0                      PQ 8058000A  78          2001</t>
        </is>
      </c>
      <c r="F1095" t="inlineStr">
        <is>
          <t>Antología de poesía chilena nueva (1935) / Eduardo Anguita y Volodia Teitelboim.</t>
        </is>
      </c>
      <c r="H1095" t="inlineStr">
        <is>
          <t>No</t>
        </is>
      </c>
      <c r="I1095" t="inlineStr">
        <is>
          <t>1</t>
        </is>
      </c>
      <c r="J1095" t="inlineStr">
        <is>
          <t>No</t>
        </is>
      </c>
      <c r="K1095" t="inlineStr">
        <is>
          <t>No</t>
        </is>
      </c>
      <c r="L1095" t="inlineStr">
        <is>
          <t>0</t>
        </is>
      </c>
      <c r="N1095" t="inlineStr">
        <is>
          <t>Santiago de Chile : LOM Ediciones, 2001.</t>
        </is>
      </c>
      <c r="O1095" t="inlineStr">
        <is>
          <t>2001</t>
        </is>
      </c>
      <c r="P1095" t="inlineStr">
        <is>
          <t>2. ed.</t>
        </is>
      </c>
      <c r="Q1095" t="inlineStr">
        <is>
          <t>spa</t>
        </is>
      </c>
      <c r="R1095" t="inlineStr">
        <is>
          <t xml:space="preserve">cl </t>
        </is>
      </c>
      <c r="S1095" t="inlineStr">
        <is>
          <t>Colección Entre mares. Poesía</t>
        </is>
      </c>
      <c r="T1095" t="inlineStr">
        <is>
          <t xml:space="preserve">PQ </t>
        </is>
      </c>
      <c r="U1095" t="n">
        <v>1</v>
      </c>
      <c r="V1095" t="n">
        <v>1</v>
      </c>
      <c r="W1095" t="inlineStr">
        <is>
          <t>2003-04-02</t>
        </is>
      </c>
      <c r="X1095" t="inlineStr">
        <is>
          <t>2003-04-02</t>
        </is>
      </c>
      <c r="Y1095" t="inlineStr">
        <is>
          <t>2003-04-02</t>
        </is>
      </c>
      <c r="Z1095" t="inlineStr">
        <is>
          <t>2003-04-02</t>
        </is>
      </c>
      <c r="AA1095" t="n">
        <v>64</v>
      </c>
      <c r="AB1095" t="n">
        <v>50</v>
      </c>
      <c r="AC1095" t="n">
        <v>58</v>
      </c>
      <c r="AD1095" t="n">
        <v>2</v>
      </c>
      <c r="AE1095" t="n">
        <v>2</v>
      </c>
      <c r="AF1095" t="n">
        <v>4</v>
      </c>
      <c r="AG1095" t="n">
        <v>4</v>
      </c>
      <c r="AH1095" t="n">
        <v>1</v>
      </c>
      <c r="AI1095" t="n">
        <v>1</v>
      </c>
      <c r="AJ1095" t="n">
        <v>0</v>
      </c>
      <c r="AK1095" t="n">
        <v>0</v>
      </c>
      <c r="AL1095" t="n">
        <v>3</v>
      </c>
      <c r="AM1095" t="n">
        <v>3</v>
      </c>
      <c r="AN1095" t="n">
        <v>1</v>
      </c>
      <c r="AO1095" t="n">
        <v>1</v>
      </c>
      <c r="AP1095" t="n">
        <v>0</v>
      </c>
      <c r="AQ1095" t="n">
        <v>0</v>
      </c>
      <c r="AR1095" t="inlineStr">
        <is>
          <t>No</t>
        </is>
      </c>
      <c r="AS1095" t="inlineStr">
        <is>
          <t>Yes</t>
        </is>
      </c>
      <c r="AT1095">
        <f>HYPERLINK("http://catalog.hathitrust.org/Record/004242561","HathiTrust Record")</f>
        <v/>
      </c>
      <c r="AU1095">
        <f>HYPERLINK("https://creighton-primo.hosted.exlibrisgroup.com/primo-explore/search?tab=default_tab&amp;search_scope=EVERYTHING&amp;vid=01CRU&amp;lang=en_US&amp;offset=0&amp;query=any,contains,991004028319702656","Catalog Record")</f>
        <v/>
      </c>
      <c r="AV1095">
        <f>HYPERLINK("http://www.worldcat.org/oclc/49217444","WorldCat Record")</f>
        <v/>
      </c>
      <c r="AW1095" t="inlineStr">
        <is>
          <t>10450530201:spa</t>
        </is>
      </c>
      <c r="AX1095" t="inlineStr">
        <is>
          <t>49217444</t>
        </is>
      </c>
      <c r="AY1095" t="inlineStr">
        <is>
          <t>991004028319702656</t>
        </is>
      </c>
      <c r="AZ1095" t="inlineStr">
        <is>
          <t>991004028319702656</t>
        </is>
      </c>
      <c r="BA1095" t="inlineStr">
        <is>
          <t>2267887980002656</t>
        </is>
      </c>
      <c r="BB1095" t="inlineStr">
        <is>
          <t>BOOK</t>
        </is>
      </c>
      <c r="BD1095" t="inlineStr">
        <is>
          <t>9789562824033</t>
        </is>
      </c>
      <c r="BE1095" t="inlineStr">
        <is>
          <t>32285004689229</t>
        </is>
      </c>
      <c r="BF1095" t="inlineStr">
        <is>
          <t>893525542</t>
        </is>
      </c>
    </row>
    <row r="1096">
      <c r="A1096" t="inlineStr">
        <is>
          <t>No</t>
        </is>
      </c>
      <c r="B1096" t="inlineStr">
        <is>
          <t>CURAL</t>
        </is>
      </c>
      <c r="C1096" t="inlineStr">
        <is>
          <t>SHELVES</t>
        </is>
      </c>
      <c r="D1096" t="inlineStr">
        <is>
          <t>PQ8069 .A15 2001</t>
        </is>
      </c>
      <c r="E1096" t="inlineStr">
        <is>
          <t>0                      PQ 8069000A  15          2001</t>
        </is>
      </c>
      <c r="F1096" t="inlineStr">
        <is>
          <t>7 muestras, 7 obras : teatro chileno actual / Pablo Alvarez ... [et al.].</t>
        </is>
      </c>
      <c r="H1096" t="inlineStr">
        <is>
          <t>No</t>
        </is>
      </c>
      <c r="I1096" t="inlineStr">
        <is>
          <t>1</t>
        </is>
      </c>
      <c r="J1096" t="inlineStr">
        <is>
          <t>No</t>
        </is>
      </c>
      <c r="K1096" t="inlineStr">
        <is>
          <t>No</t>
        </is>
      </c>
      <c r="L1096" t="inlineStr">
        <is>
          <t>0</t>
        </is>
      </c>
      <c r="N1096" t="inlineStr">
        <is>
          <t>Santiago, Chile : LOM Ediciones, 2001.</t>
        </is>
      </c>
      <c r="O1096" t="inlineStr">
        <is>
          <t>2001</t>
        </is>
      </c>
      <c r="Q1096" t="inlineStr">
        <is>
          <t>spa</t>
        </is>
      </c>
      <c r="R1096" t="inlineStr">
        <is>
          <t xml:space="preserve">cl </t>
        </is>
      </c>
      <c r="S1096" t="inlineStr">
        <is>
          <t>Teatro</t>
        </is>
      </c>
      <c r="T1096" t="inlineStr">
        <is>
          <t xml:space="preserve">PQ </t>
        </is>
      </c>
      <c r="U1096" t="n">
        <v>1</v>
      </c>
      <c r="V1096" t="n">
        <v>1</v>
      </c>
      <c r="W1096" t="inlineStr">
        <is>
          <t>2003-04-02</t>
        </is>
      </c>
      <c r="X1096" t="inlineStr">
        <is>
          <t>2003-04-02</t>
        </is>
      </c>
      <c r="Y1096" t="inlineStr">
        <is>
          <t>2003-04-02</t>
        </is>
      </c>
      <c r="Z1096" t="inlineStr">
        <is>
          <t>2003-04-02</t>
        </is>
      </c>
      <c r="AA1096" t="n">
        <v>76</v>
      </c>
      <c r="AB1096" t="n">
        <v>66</v>
      </c>
      <c r="AC1096" t="n">
        <v>68</v>
      </c>
      <c r="AD1096" t="n">
        <v>1</v>
      </c>
      <c r="AE1096" t="n">
        <v>1</v>
      </c>
      <c r="AF1096" t="n">
        <v>3</v>
      </c>
      <c r="AG1096" t="n">
        <v>3</v>
      </c>
      <c r="AH1096" t="n">
        <v>2</v>
      </c>
      <c r="AI1096" t="n">
        <v>2</v>
      </c>
      <c r="AJ1096" t="n">
        <v>0</v>
      </c>
      <c r="AK1096" t="n">
        <v>0</v>
      </c>
      <c r="AL1096" t="n">
        <v>3</v>
      </c>
      <c r="AM1096" t="n">
        <v>3</v>
      </c>
      <c r="AN1096" t="n">
        <v>0</v>
      </c>
      <c r="AO1096" t="n">
        <v>0</v>
      </c>
      <c r="AP1096" t="n">
        <v>0</v>
      </c>
      <c r="AQ1096" t="n">
        <v>0</v>
      </c>
      <c r="AR1096" t="inlineStr">
        <is>
          <t>No</t>
        </is>
      </c>
      <c r="AS1096" t="inlineStr">
        <is>
          <t>Yes</t>
        </is>
      </c>
      <c r="AT1096">
        <f>HYPERLINK("http://catalog.hathitrust.org/Record/004264681","HathiTrust Record")</f>
        <v/>
      </c>
      <c r="AU1096">
        <f>HYPERLINK("https://creighton-primo.hosted.exlibrisgroup.com/primo-explore/search?tab=default_tab&amp;search_scope=EVERYTHING&amp;vid=01CRU&amp;lang=en_US&amp;offset=0&amp;query=any,contains,991004028239702656","Catalog Record")</f>
        <v/>
      </c>
      <c r="AV1096">
        <f>HYPERLINK("http://www.worldcat.org/oclc/49940921","WorldCat Record")</f>
        <v/>
      </c>
      <c r="AW1096" t="inlineStr">
        <is>
          <t>39869046:spa</t>
        </is>
      </c>
      <c r="AX1096" t="inlineStr">
        <is>
          <t>49940921</t>
        </is>
      </c>
      <c r="AY1096" t="inlineStr">
        <is>
          <t>991004028239702656</t>
        </is>
      </c>
      <c r="AZ1096" t="inlineStr">
        <is>
          <t>991004028239702656</t>
        </is>
      </c>
      <c r="BA1096" t="inlineStr">
        <is>
          <t>2271627430002656</t>
        </is>
      </c>
      <c r="BB1096" t="inlineStr">
        <is>
          <t>BOOK</t>
        </is>
      </c>
      <c r="BD1096" t="inlineStr">
        <is>
          <t>9789562824262</t>
        </is>
      </c>
      <c r="BE1096" t="inlineStr">
        <is>
          <t>32285004689161</t>
        </is>
      </c>
      <c r="BF1096" t="inlineStr">
        <is>
          <t>893718378</t>
        </is>
      </c>
    </row>
    <row r="1097">
      <c r="A1097" t="inlineStr">
        <is>
          <t>No</t>
        </is>
      </c>
      <c r="B1097" t="inlineStr">
        <is>
          <t>CURAL</t>
        </is>
      </c>
      <c r="C1097" t="inlineStr">
        <is>
          <t>SHELVES</t>
        </is>
      </c>
      <c r="D1097" t="inlineStr">
        <is>
          <t>PQ8069 .T423 1992</t>
        </is>
      </c>
      <c r="E1097" t="inlineStr">
        <is>
          <t>0                      PQ 8069000T  423         1992</t>
        </is>
      </c>
      <c r="F1097" t="inlineStr">
        <is>
          <t>Teatro chileno contemporáneo : antología / [coordinador de este volumen, Juan Andrés Piña].</t>
        </is>
      </c>
      <c r="H1097" t="inlineStr">
        <is>
          <t>No</t>
        </is>
      </c>
      <c r="I1097" t="inlineStr">
        <is>
          <t>1</t>
        </is>
      </c>
      <c r="J1097" t="inlineStr">
        <is>
          <t>No</t>
        </is>
      </c>
      <c r="K1097" t="inlineStr">
        <is>
          <t>No</t>
        </is>
      </c>
      <c r="L1097" t="inlineStr">
        <is>
          <t>0</t>
        </is>
      </c>
      <c r="N1097" t="inlineStr">
        <is>
          <t>Madrid : Quinto Centenario : Fondo de Cultura Económica : Centro de Documentación Teatral, 1992.</t>
        </is>
      </c>
      <c r="O1097" t="inlineStr">
        <is>
          <t>1992</t>
        </is>
      </c>
      <c r="P1097" t="inlineStr">
        <is>
          <t>1. ed.</t>
        </is>
      </c>
      <c r="Q1097" t="inlineStr">
        <is>
          <t>spa</t>
        </is>
      </c>
      <c r="R1097" t="inlineStr">
        <is>
          <t xml:space="preserve">sp </t>
        </is>
      </c>
      <c r="S1097" t="inlineStr">
        <is>
          <t>Teatro iberoamericano contemporáneo</t>
        </is>
      </c>
      <c r="T1097" t="inlineStr">
        <is>
          <t xml:space="preserve">PQ </t>
        </is>
      </c>
      <c r="U1097" t="n">
        <v>2</v>
      </c>
      <c r="V1097" t="n">
        <v>2</v>
      </c>
      <c r="W1097" t="inlineStr">
        <is>
          <t>2009-09-24</t>
        </is>
      </c>
      <c r="X1097" t="inlineStr">
        <is>
          <t>2009-09-24</t>
        </is>
      </c>
      <c r="Y1097" t="inlineStr">
        <is>
          <t>1998-08-24</t>
        </is>
      </c>
      <c r="Z1097" t="inlineStr">
        <is>
          <t>1998-08-24</t>
        </is>
      </c>
      <c r="AA1097" t="n">
        <v>137</v>
      </c>
      <c r="AB1097" t="n">
        <v>112</v>
      </c>
      <c r="AC1097" t="n">
        <v>114</v>
      </c>
      <c r="AD1097" t="n">
        <v>3</v>
      </c>
      <c r="AE1097" t="n">
        <v>3</v>
      </c>
      <c r="AF1097" t="n">
        <v>8</v>
      </c>
      <c r="AG1097" t="n">
        <v>9</v>
      </c>
      <c r="AH1097" t="n">
        <v>1</v>
      </c>
      <c r="AI1097" t="n">
        <v>2</v>
      </c>
      <c r="AJ1097" t="n">
        <v>2</v>
      </c>
      <c r="AK1097" t="n">
        <v>2</v>
      </c>
      <c r="AL1097" t="n">
        <v>4</v>
      </c>
      <c r="AM1097" t="n">
        <v>5</v>
      </c>
      <c r="AN1097" t="n">
        <v>2</v>
      </c>
      <c r="AO1097" t="n">
        <v>2</v>
      </c>
      <c r="AP1097" t="n">
        <v>0</v>
      </c>
      <c r="AQ1097" t="n">
        <v>0</v>
      </c>
      <c r="AR1097" t="inlineStr">
        <is>
          <t>No</t>
        </is>
      </c>
      <c r="AS1097" t="inlineStr">
        <is>
          <t>Yes</t>
        </is>
      </c>
      <c r="AT1097">
        <f>HYPERLINK("http://catalog.hathitrust.org/Record/007111021","HathiTrust Record")</f>
        <v/>
      </c>
      <c r="AU1097">
        <f>HYPERLINK("https://creighton-primo.hosted.exlibrisgroup.com/primo-explore/search?tab=default_tab&amp;search_scope=EVERYTHING&amp;vid=01CRU&amp;lang=en_US&amp;offset=0&amp;query=any,contains,991002233699702656","Catalog Record")</f>
        <v/>
      </c>
      <c r="AV1097">
        <f>HYPERLINK("http://www.worldcat.org/oclc/28798856","WorldCat Record")</f>
        <v/>
      </c>
      <c r="AW1097" t="inlineStr">
        <is>
          <t>807589266:spa</t>
        </is>
      </c>
      <c r="AX1097" t="inlineStr">
        <is>
          <t>28798856</t>
        </is>
      </c>
      <c r="AY1097" t="inlineStr">
        <is>
          <t>991002233699702656</t>
        </is>
      </c>
      <c r="AZ1097" t="inlineStr">
        <is>
          <t>991002233699702656</t>
        </is>
      </c>
      <c r="BA1097" t="inlineStr">
        <is>
          <t>2270012750002656</t>
        </is>
      </c>
      <c r="BB1097" t="inlineStr">
        <is>
          <t>BOOK</t>
        </is>
      </c>
      <c r="BD1097" t="inlineStr">
        <is>
          <t>9788437503172</t>
        </is>
      </c>
      <c r="BE1097" t="inlineStr">
        <is>
          <t>32285003461539</t>
        </is>
      </c>
      <c r="BF1097" t="inlineStr">
        <is>
          <t>893622047</t>
        </is>
      </c>
    </row>
    <row r="1098">
      <c r="A1098" t="inlineStr">
        <is>
          <t>No</t>
        </is>
      </c>
      <c r="B1098" t="inlineStr">
        <is>
          <t>CURAL</t>
        </is>
      </c>
      <c r="C1098" t="inlineStr">
        <is>
          <t>SHELVES</t>
        </is>
      </c>
      <c r="D1098" t="inlineStr">
        <is>
          <t>PQ8076 .C5 1982</t>
        </is>
      </c>
      <c r="E1098" t="inlineStr">
        <is>
          <t>0                      PQ 8076000C  5           1982</t>
        </is>
      </c>
      <c r="F1098" t="inlineStr">
        <is>
          <t>Chilean writers in exile : eight short novels / edited by Fernando Alegría.</t>
        </is>
      </c>
      <c r="H1098" t="inlineStr">
        <is>
          <t>No</t>
        </is>
      </c>
      <c r="I1098" t="inlineStr">
        <is>
          <t>1</t>
        </is>
      </c>
      <c r="J1098" t="inlineStr">
        <is>
          <t>No</t>
        </is>
      </c>
      <c r="K1098" t="inlineStr">
        <is>
          <t>No</t>
        </is>
      </c>
      <c r="L1098" t="inlineStr">
        <is>
          <t>0</t>
        </is>
      </c>
      <c r="N1098" t="inlineStr">
        <is>
          <t>Trumansburg, N.Y. : Crossing Press, c1982.</t>
        </is>
      </c>
      <c r="O1098" t="inlineStr">
        <is>
          <t>1982</t>
        </is>
      </c>
      <c r="Q1098" t="inlineStr">
        <is>
          <t>eng</t>
        </is>
      </c>
      <c r="R1098" t="inlineStr">
        <is>
          <t>nyu</t>
        </is>
      </c>
      <c r="T1098" t="inlineStr">
        <is>
          <t xml:space="preserve">PQ </t>
        </is>
      </c>
      <c r="U1098" t="n">
        <v>2</v>
      </c>
      <c r="V1098" t="n">
        <v>2</v>
      </c>
      <c r="W1098" t="inlineStr">
        <is>
          <t>1992-12-03</t>
        </is>
      </c>
      <c r="X1098" t="inlineStr">
        <is>
          <t>1992-12-03</t>
        </is>
      </c>
      <c r="Y1098" t="inlineStr">
        <is>
          <t>1990-05-24</t>
        </is>
      </c>
      <c r="Z1098" t="inlineStr">
        <is>
          <t>1990-05-24</t>
        </is>
      </c>
      <c r="AA1098" t="n">
        <v>370</v>
      </c>
      <c r="AB1098" t="n">
        <v>330</v>
      </c>
      <c r="AC1098" t="n">
        <v>336</v>
      </c>
      <c r="AD1098" t="n">
        <v>3</v>
      </c>
      <c r="AE1098" t="n">
        <v>3</v>
      </c>
      <c r="AF1098" t="n">
        <v>14</v>
      </c>
      <c r="AG1098" t="n">
        <v>14</v>
      </c>
      <c r="AH1098" t="n">
        <v>4</v>
      </c>
      <c r="AI1098" t="n">
        <v>4</v>
      </c>
      <c r="AJ1098" t="n">
        <v>7</v>
      </c>
      <c r="AK1098" t="n">
        <v>7</v>
      </c>
      <c r="AL1098" t="n">
        <v>6</v>
      </c>
      <c r="AM1098" t="n">
        <v>6</v>
      </c>
      <c r="AN1098" t="n">
        <v>2</v>
      </c>
      <c r="AO1098" t="n">
        <v>2</v>
      </c>
      <c r="AP1098" t="n">
        <v>0</v>
      </c>
      <c r="AQ1098" t="n">
        <v>0</v>
      </c>
      <c r="AR1098" t="inlineStr">
        <is>
          <t>No</t>
        </is>
      </c>
      <c r="AS1098" t="inlineStr">
        <is>
          <t>Yes</t>
        </is>
      </c>
      <c r="AT1098">
        <f>HYPERLINK("http://catalog.hathitrust.org/Record/000267842","HathiTrust Record")</f>
        <v/>
      </c>
      <c r="AU1098">
        <f>HYPERLINK("https://creighton-primo.hosted.exlibrisgroup.com/primo-explore/search?tab=default_tab&amp;search_scope=EVERYTHING&amp;vid=01CRU&amp;lang=en_US&amp;offset=0&amp;query=any,contains,991005152749702656","Catalog Record")</f>
        <v/>
      </c>
      <c r="AV1098">
        <f>HYPERLINK("http://www.worldcat.org/oclc/7734596","WorldCat Record")</f>
        <v/>
      </c>
      <c r="AW1098" t="inlineStr">
        <is>
          <t>552608:eng</t>
        </is>
      </c>
      <c r="AX1098" t="inlineStr">
        <is>
          <t>7734596</t>
        </is>
      </c>
      <c r="AY1098" t="inlineStr">
        <is>
          <t>991005152749702656</t>
        </is>
      </c>
      <c r="AZ1098" t="inlineStr">
        <is>
          <t>991005152749702656</t>
        </is>
      </c>
      <c r="BA1098" t="inlineStr">
        <is>
          <t>2255896410002656</t>
        </is>
      </c>
      <c r="BB1098" t="inlineStr">
        <is>
          <t>BOOK</t>
        </is>
      </c>
      <c r="BD1098" t="inlineStr">
        <is>
          <t>9780895940599</t>
        </is>
      </c>
      <c r="BE1098" t="inlineStr">
        <is>
          <t>32285000165901</t>
        </is>
      </c>
      <c r="BF1098" t="inlineStr">
        <is>
          <t>893263638</t>
        </is>
      </c>
    </row>
    <row r="1099">
      <c r="A1099" t="inlineStr">
        <is>
          <t>No</t>
        </is>
      </c>
      <c r="B1099" t="inlineStr">
        <is>
          <t>CURAL</t>
        </is>
      </c>
      <c r="C1099" t="inlineStr">
        <is>
          <t>SHELVES</t>
        </is>
      </c>
      <c r="D1099" t="inlineStr">
        <is>
          <t>PQ8097 .N4 1968</t>
        </is>
      </c>
      <c r="E1099" t="inlineStr">
        <is>
          <t>0                      PQ 8097000N  4           1968</t>
        </is>
      </c>
      <c r="F1099" t="inlineStr">
        <is>
          <t>Obras completas.</t>
        </is>
      </c>
      <c r="G1099" t="inlineStr">
        <is>
          <t>V.1</t>
        </is>
      </c>
      <c r="H1099" t="inlineStr">
        <is>
          <t>Yes</t>
        </is>
      </c>
      <c r="I1099" t="inlineStr">
        <is>
          <t>1</t>
        </is>
      </c>
      <c r="J1099" t="inlineStr">
        <is>
          <t>No</t>
        </is>
      </c>
      <c r="K1099" t="inlineStr">
        <is>
          <t>No</t>
        </is>
      </c>
      <c r="L1099" t="inlineStr">
        <is>
          <t>0</t>
        </is>
      </c>
      <c r="M1099" t="inlineStr">
        <is>
          <t>Neruda, Pablo, 1904-1973.</t>
        </is>
      </c>
      <c r="N1099" t="inlineStr">
        <is>
          <t>Buenos Aires, Editorial Losada [1968, c1957]</t>
        </is>
      </c>
      <c r="O1099" t="inlineStr">
        <is>
          <t>1968</t>
        </is>
      </c>
      <c r="P1099" t="inlineStr">
        <is>
          <t>3. ed. aumentada. Cronología de Pablo Neruda por Margarita Aguirre. Guías bibliográficas por Alfonso M. Escudero y Hernán Loyola.</t>
        </is>
      </c>
      <c r="Q1099" t="inlineStr">
        <is>
          <t>spa</t>
        </is>
      </c>
      <c r="R1099" t="inlineStr">
        <is>
          <t xml:space="preserve">ag </t>
        </is>
      </c>
      <c r="S1099" t="inlineStr">
        <is>
          <t>Colección Cumbre</t>
        </is>
      </c>
      <c r="T1099" t="inlineStr">
        <is>
          <t xml:space="preserve">PQ </t>
        </is>
      </c>
      <c r="U1099" t="n">
        <v>4</v>
      </c>
      <c r="V1099" t="n">
        <v>5</v>
      </c>
      <c r="W1099" t="inlineStr">
        <is>
          <t>2000-04-16</t>
        </is>
      </c>
      <c r="X1099" t="inlineStr">
        <is>
          <t>2000-12-10</t>
        </is>
      </c>
      <c r="Y1099" t="inlineStr">
        <is>
          <t>1997-08-08</t>
        </is>
      </c>
      <c r="Z1099" t="inlineStr">
        <is>
          <t>1997-08-08</t>
        </is>
      </c>
      <c r="AA1099" t="n">
        <v>143</v>
      </c>
      <c r="AB1099" t="n">
        <v>127</v>
      </c>
      <c r="AC1099" t="n">
        <v>127</v>
      </c>
      <c r="AD1099" t="n">
        <v>1</v>
      </c>
      <c r="AE1099" t="n">
        <v>1</v>
      </c>
      <c r="AF1099" t="n">
        <v>4</v>
      </c>
      <c r="AG1099" t="n">
        <v>4</v>
      </c>
      <c r="AH1099" t="n">
        <v>1</v>
      </c>
      <c r="AI1099" t="n">
        <v>1</v>
      </c>
      <c r="AJ1099" t="n">
        <v>1</v>
      </c>
      <c r="AK1099" t="n">
        <v>1</v>
      </c>
      <c r="AL1099" t="n">
        <v>2</v>
      </c>
      <c r="AM1099" t="n">
        <v>2</v>
      </c>
      <c r="AN1099" t="n">
        <v>0</v>
      </c>
      <c r="AO1099" t="n">
        <v>0</v>
      </c>
      <c r="AP1099" t="n">
        <v>0</v>
      </c>
      <c r="AQ1099" t="n">
        <v>0</v>
      </c>
      <c r="AR1099" t="inlineStr">
        <is>
          <t>No</t>
        </is>
      </c>
      <c r="AS1099" t="inlineStr">
        <is>
          <t>Yes</t>
        </is>
      </c>
      <c r="AT1099">
        <f>HYPERLINK("http://catalog.hathitrust.org/Record/002434356","HathiTrust Record")</f>
        <v/>
      </c>
      <c r="AU1099">
        <f>HYPERLINK("https://creighton-primo.hosted.exlibrisgroup.com/primo-explore/search?tab=default_tab&amp;search_scope=EVERYTHING&amp;vid=01CRU&amp;lang=en_US&amp;offset=0&amp;query=any,contains,991002882809702656","Catalog Record")</f>
        <v/>
      </c>
      <c r="AV1099">
        <f>HYPERLINK("http://www.worldcat.org/oclc/506667","WorldCat Record")</f>
        <v/>
      </c>
      <c r="AW1099" t="inlineStr">
        <is>
          <t>8909697973:spa</t>
        </is>
      </c>
      <c r="AX1099" t="inlineStr">
        <is>
          <t>506667</t>
        </is>
      </c>
      <c r="AY1099" t="inlineStr">
        <is>
          <t>991002882809702656</t>
        </is>
      </c>
      <c r="AZ1099" t="inlineStr">
        <is>
          <t>991002882809702656</t>
        </is>
      </c>
      <c r="BA1099" t="inlineStr">
        <is>
          <t>2261823920002656</t>
        </is>
      </c>
      <c r="BB1099" t="inlineStr">
        <is>
          <t>BOOK</t>
        </is>
      </c>
      <c r="BE1099" t="inlineStr">
        <is>
          <t>32285003061701</t>
        </is>
      </c>
      <c r="BF1099" t="inlineStr">
        <is>
          <t>893335850</t>
        </is>
      </c>
    </row>
    <row r="1100">
      <c r="A1100" t="inlineStr">
        <is>
          <t>No</t>
        </is>
      </c>
      <c r="B1100" t="inlineStr">
        <is>
          <t>CURAL</t>
        </is>
      </c>
      <c r="C1100" t="inlineStr">
        <is>
          <t>SHELVES</t>
        </is>
      </c>
      <c r="D1100" t="inlineStr">
        <is>
          <t>PQ8097 .N4 1968</t>
        </is>
      </c>
      <c r="E1100" t="inlineStr">
        <is>
          <t>0                      PQ 8097000N  4           1968</t>
        </is>
      </c>
      <c r="F1100" t="inlineStr">
        <is>
          <t>Obras completas.</t>
        </is>
      </c>
      <c r="G1100" t="inlineStr">
        <is>
          <t>V.2</t>
        </is>
      </c>
      <c r="H1100" t="inlineStr">
        <is>
          <t>Yes</t>
        </is>
      </c>
      <c r="I1100" t="inlineStr">
        <is>
          <t>1</t>
        </is>
      </c>
      <c r="J1100" t="inlineStr">
        <is>
          <t>No</t>
        </is>
      </c>
      <c r="K1100" t="inlineStr">
        <is>
          <t>No</t>
        </is>
      </c>
      <c r="L1100" t="inlineStr">
        <is>
          <t>0</t>
        </is>
      </c>
      <c r="M1100" t="inlineStr">
        <is>
          <t>Neruda, Pablo, 1904-1973.</t>
        </is>
      </c>
      <c r="N1100" t="inlineStr">
        <is>
          <t>Buenos Aires, Editorial Losada [1968, c1957]</t>
        </is>
      </c>
      <c r="O1100" t="inlineStr">
        <is>
          <t>1968</t>
        </is>
      </c>
      <c r="P1100" t="inlineStr">
        <is>
          <t>3. ed. aumentada. Cronología de Pablo Neruda por Margarita Aguirre. Guías bibliográficas por Alfonso M. Escudero y Hernán Loyola.</t>
        </is>
      </c>
      <c r="Q1100" t="inlineStr">
        <is>
          <t>spa</t>
        </is>
      </c>
      <c r="R1100" t="inlineStr">
        <is>
          <t xml:space="preserve">ag </t>
        </is>
      </c>
      <c r="S1100" t="inlineStr">
        <is>
          <t>Colección Cumbre</t>
        </is>
      </c>
      <c r="T1100" t="inlineStr">
        <is>
          <t xml:space="preserve">PQ </t>
        </is>
      </c>
      <c r="U1100" t="n">
        <v>1</v>
      </c>
      <c r="V1100" t="n">
        <v>5</v>
      </c>
      <c r="W1100" t="inlineStr">
        <is>
          <t>2000-12-10</t>
        </is>
      </c>
      <c r="X1100" t="inlineStr">
        <is>
          <t>2000-12-10</t>
        </is>
      </c>
      <c r="Y1100" t="inlineStr">
        <is>
          <t>1997-08-08</t>
        </is>
      </c>
      <c r="Z1100" t="inlineStr">
        <is>
          <t>1997-08-08</t>
        </is>
      </c>
      <c r="AA1100" t="n">
        <v>143</v>
      </c>
      <c r="AB1100" t="n">
        <v>127</v>
      </c>
      <c r="AC1100" t="n">
        <v>127</v>
      </c>
      <c r="AD1100" t="n">
        <v>1</v>
      </c>
      <c r="AE1100" t="n">
        <v>1</v>
      </c>
      <c r="AF1100" t="n">
        <v>4</v>
      </c>
      <c r="AG1100" t="n">
        <v>4</v>
      </c>
      <c r="AH1100" t="n">
        <v>1</v>
      </c>
      <c r="AI1100" t="n">
        <v>1</v>
      </c>
      <c r="AJ1100" t="n">
        <v>1</v>
      </c>
      <c r="AK1100" t="n">
        <v>1</v>
      </c>
      <c r="AL1100" t="n">
        <v>2</v>
      </c>
      <c r="AM1100" t="n">
        <v>2</v>
      </c>
      <c r="AN1100" t="n">
        <v>0</v>
      </c>
      <c r="AO1100" t="n">
        <v>0</v>
      </c>
      <c r="AP1100" t="n">
        <v>0</v>
      </c>
      <c r="AQ1100" t="n">
        <v>0</v>
      </c>
      <c r="AR1100" t="inlineStr">
        <is>
          <t>No</t>
        </is>
      </c>
      <c r="AS1100" t="inlineStr">
        <is>
          <t>Yes</t>
        </is>
      </c>
      <c r="AT1100">
        <f>HYPERLINK("http://catalog.hathitrust.org/Record/002434356","HathiTrust Record")</f>
        <v/>
      </c>
      <c r="AU1100">
        <f>HYPERLINK("https://creighton-primo.hosted.exlibrisgroup.com/primo-explore/search?tab=default_tab&amp;search_scope=EVERYTHING&amp;vid=01CRU&amp;lang=en_US&amp;offset=0&amp;query=any,contains,991002882809702656","Catalog Record")</f>
        <v/>
      </c>
      <c r="AV1100">
        <f>HYPERLINK("http://www.worldcat.org/oclc/506667","WorldCat Record")</f>
        <v/>
      </c>
      <c r="AW1100" t="inlineStr">
        <is>
          <t>8909697973:spa</t>
        </is>
      </c>
      <c r="AX1100" t="inlineStr">
        <is>
          <t>506667</t>
        </is>
      </c>
      <c r="AY1100" t="inlineStr">
        <is>
          <t>991002882809702656</t>
        </is>
      </c>
      <c r="AZ1100" t="inlineStr">
        <is>
          <t>991002882809702656</t>
        </is>
      </c>
      <c r="BA1100" t="inlineStr">
        <is>
          <t>2261823920002656</t>
        </is>
      </c>
      <c r="BB1100" t="inlineStr">
        <is>
          <t>BOOK</t>
        </is>
      </c>
      <c r="BE1100" t="inlineStr">
        <is>
          <t>32285003061719</t>
        </is>
      </c>
      <c r="BF1100" t="inlineStr">
        <is>
          <t>893323491</t>
        </is>
      </c>
    </row>
    <row r="1101">
      <c r="A1101" t="inlineStr">
        <is>
          <t>No</t>
        </is>
      </c>
      <c r="B1101" t="inlineStr">
        <is>
          <t>CURAL</t>
        </is>
      </c>
      <c r="C1101" t="inlineStr">
        <is>
          <t>SHELVES</t>
        </is>
      </c>
      <c r="D1101" t="inlineStr">
        <is>
          <t>PQ8097.A734 A7813 1993</t>
        </is>
      </c>
      <c r="E1101" t="inlineStr">
        <is>
          <t>0                      PQ 8097000A  734                A  7813        1993</t>
        </is>
      </c>
      <c r="F1101" t="inlineStr">
        <is>
          <t>Allende : a novel / Fernando Alegría ; translated by Frank Janney.</t>
        </is>
      </c>
      <c r="H1101" t="inlineStr">
        <is>
          <t>No</t>
        </is>
      </c>
      <c r="I1101" t="inlineStr">
        <is>
          <t>1</t>
        </is>
      </c>
      <c r="J1101" t="inlineStr">
        <is>
          <t>No</t>
        </is>
      </c>
      <c r="K1101" t="inlineStr">
        <is>
          <t>No</t>
        </is>
      </c>
      <c r="L1101" t="inlineStr">
        <is>
          <t>0</t>
        </is>
      </c>
      <c r="M1101" t="inlineStr">
        <is>
          <t>Alegría, Fernando, 1918-2005.</t>
        </is>
      </c>
      <c r="N1101" t="inlineStr">
        <is>
          <t>Stanford, Calif. : Stanford University Press, 1993.</t>
        </is>
      </c>
      <c r="O1101" t="inlineStr">
        <is>
          <t>1993</t>
        </is>
      </c>
      <c r="Q1101" t="inlineStr">
        <is>
          <t>eng</t>
        </is>
      </c>
      <c r="R1101" t="inlineStr">
        <is>
          <t>cau</t>
        </is>
      </c>
      <c r="T1101" t="inlineStr">
        <is>
          <t xml:space="preserve">PQ </t>
        </is>
      </c>
      <c r="U1101" t="n">
        <v>6</v>
      </c>
      <c r="V1101" t="n">
        <v>6</v>
      </c>
      <c r="W1101" t="inlineStr">
        <is>
          <t>2005-04-14</t>
        </is>
      </c>
      <c r="X1101" t="inlineStr">
        <is>
          <t>2005-04-14</t>
        </is>
      </c>
      <c r="Y1101" t="inlineStr">
        <is>
          <t>1993-09-14</t>
        </is>
      </c>
      <c r="Z1101" t="inlineStr">
        <is>
          <t>1993-09-14</t>
        </is>
      </c>
      <c r="AA1101" t="n">
        <v>340</v>
      </c>
      <c r="AB1101" t="n">
        <v>301</v>
      </c>
      <c r="AC1101" t="n">
        <v>301</v>
      </c>
      <c r="AD1101" t="n">
        <v>2</v>
      </c>
      <c r="AE1101" t="n">
        <v>2</v>
      </c>
      <c r="AF1101" t="n">
        <v>13</v>
      </c>
      <c r="AG1101" t="n">
        <v>13</v>
      </c>
      <c r="AH1101" t="n">
        <v>2</v>
      </c>
      <c r="AI1101" t="n">
        <v>2</v>
      </c>
      <c r="AJ1101" t="n">
        <v>5</v>
      </c>
      <c r="AK1101" t="n">
        <v>5</v>
      </c>
      <c r="AL1101" t="n">
        <v>7</v>
      </c>
      <c r="AM1101" t="n">
        <v>7</v>
      </c>
      <c r="AN1101" t="n">
        <v>1</v>
      </c>
      <c r="AO1101" t="n">
        <v>1</v>
      </c>
      <c r="AP1101" t="n">
        <v>0</v>
      </c>
      <c r="AQ1101" t="n">
        <v>0</v>
      </c>
      <c r="AR1101" t="inlineStr">
        <is>
          <t>No</t>
        </is>
      </c>
      <c r="AS1101" t="inlineStr">
        <is>
          <t>No</t>
        </is>
      </c>
      <c r="AU1101">
        <f>HYPERLINK("https://creighton-primo.hosted.exlibrisgroup.com/primo-explore/search?tab=default_tab&amp;search_scope=EVERYTHING&amp;vid=01CRU&amp;lang=en_US&amp;offset=0&amp;query=any,contains,991002013199702656","Catalog Record")</f>
        <v/>
      </c>
      <c r="AV1101">
        <f>HYPERLINK("http://www.worldcat.org/oclc/25629014","WorldCat Record")</f>
        <v/>
      </c>
      <c r="AW1101" t="inlineStr">
        <is>
          <t>220821034:eng</t>
        </is>
      </c>
      <c r="AX1101" t="inlineStr">
        <is>
          <t>25629014</t>
        </is>
      </c>
      <c r="AY1101" t="inlineStr">
        <is>
          <t>991002013199702656</t>
        </is>
      </c>
      <c r="AZ1101" t="inlineStr">
        <is>
          <t>991002013199702656</t>
        </is>
      </c>
      <c r="BA1101" t="inlineStr">
        <is>
          <t>2261763950002656</t>
        </is>
      </c>
      <c r="BB1101" t="inlineStr">
        <is>
          <t>BOOK</t>
        </is>
      </c>
      <c r="BD1101" t="inlineStr">
        <is>
          <t>9780804719988</t>
        </is>
      </c>
      <c r="BE1101" t="inlineStr">
        <is>
          <t>32285001766608</t>
        </is>
      </c>
      <c r="BF1101" t="inlineStr">
        <is>
          <t>893347013</t>
        </is>
      </c>
    </row>
    <row r="1102">
      <c r="A1102" t="inlineStr">
        <is>
          <t>No</t>
        </is>
      </c>
      <c r="B1102" t="inlineStr">
        <is>
          <t>CURAL</t>
        </is>
      </c>
      <c r="C1102" t="inlineStr">
        <is>
          <t>SHELVES</t>
        </is>
      </c>
      <c r="D1102" t="inlineStr">
        <is>
          <t>PQ8097.A734 C48 1980</t>
        </is>
      </c>
      <c r="E1102" t="inlineStr">
        <is>
          <t>0                      PQ 8097000A  734                C  48          1980</t>
        </is>
      </c>
      <c r="F1102" t="inlineStr">
        <is>
          <t>The Chilean spring / Fernando Alegría ; translated by Stephen Fredman.</t>
        </is>
      </c>
      <c r="H1102" t="inlineStr">
        <is>
          <t>No</t>
        </is>
      </c>
      <c r="I1102" t="inlineStr">
        <is>
          <t>1</t>
        </is>
      </c>
      <c r="J1102" t="inlineStr">
        <is>
          <t>No</t>
        </is>
      </c>
      <c r="K1102" t="inlineStr">
        <is>
          <t>No</t>
        </is>
      </c>
      <c r="L1102" t="inlineStr">
        <is>
          <t>0</t>
        </is>
      </c>
      <c r="M1102" t="inlineStr">
        <is>
          <t>Alegría, Fernando, 1918-2005.</t>
        </is>
      </c>
      <c r="N1102" t="inlineStr">
        <is>
          <t>Pittsburgh, Pa. : Latin American Literary Review Press, 1980.</t>
        </is>
      </c>
      <c r="O1102" t="inlineStr">
        <is>
          <t>1980</t>
        </is>
      </c>
      <c r="P1102" t="inlineStr">
        <is>
          <t>1st ed.</t>
        </is>
      </c>
      <c r="Q1102" t="inlineStr">
        <is>
          <t>eng</t>
        </is>
      </c>
      <c r="R1102" t="inlineStr">
        <is>
          <t>pau</t>
        </is>
      </c>
      <c r="S1102" t="inlineStr">
        <is>
          <t>Discoveries</t>
        </is>
      </c>
      <c r="T1102" t="inlineStr">
        <is>
          <t xml:space="preserve">PQ </t>
        </is>
      </c>
      <c r="U1102" t="n">
        <v>1</v>
      </c>
      <c r="V1102" t="n">
        <v>1</v>
      </c>
      <c r="W1102" t="inlineStr">
        <is>
          <t>2005-04-14</t>
        </is>
      </c>
      <c r="X1102" t="inlineStr">
        <is>
          <t>2005-04-14</t>
        </is>
      </c>
      <c r="Y1102" t="inlineStr">
        <is>
          <t>1991-08-13</t>
        </is>
      </c>
      <c r="Z1102" t="inlineStr">
        <is>
          <t>1991-08-13</t>
        </is>
      </c>
      <c r="AA1102" t="n">
        <v>278</v>
      </c>
      <c r="AB1102" t="n">
        <v>245</v>
      </c>
      <c r="AC1102" t="n">
        <v>252</v>
      </c>
      <c r="AD1102" t="n">
        <v>3</v>
      </c>
      <c r="AE1102" t="n">
        <v>3</v>
      </c>
      <c r="AF1102" t="n">
        <v>10</v>
      </c>
      <c r="AG1102" t="n">
        <v>10</v>
      </c>
      <c r="AH1102" t="n">
        <v>2</v>
      </c>
      <c r="AI1102" t="n">
        <v>2</v>
      </c>
      <c r="AJ1102" t="n">
        <v>3</v>
      </c>
      <c r="AK1102" t="n">
        <v>3</v>
      </c>
      <c r="AL1102" t="n">
        <v>5</v>
      </c>
      <c r="AM1102" t="n">
        <v>5</v>
      </c>
      <c r="AN1102" t="n">
        <v>2</v>
      </c>
      <c r="AO1102" t="n">
        <v>2</v>
      </c>
      <c r="AP1102" t="n">
        <v>0</v>
      </c>
      <c r="AQ1102" t="n">
        <v>0</v>
      </c>
      <c r="AR1102" t="inlineStr">
        <is>
          <t>No</t>
        </is>
      </c>
      <c r="AS1102" t="inlineStr">
        <is>
          <t>Yes</t>
        </is>
      </c>
      <c r="AT1102">
        <f>HYPERLINK("http://catalog.hathitrust.org/Record/000764170","HathiTrust Record")</f>
        <v/>
      </c>
      <c r="AU1102">
        <f>HYPERLINK("https://creighton-primo.hosted.exlibrisgroup.com/primo-explore/search?tab=default_tab&amp;search_scope=EVERYTHING&amp;vid=01CRU&amp;lang=en_US&amp;offset=0&amp;query=any,contains,991004958999702656","Catalog Record")</f>
        <v/>
      </c>
      <c r="AV1102">
        <f>HYPERLINK("http://www.worldcat.org/oclc/6298529","WorldCat Record")</f>
        <v/>
      </c>
      <c r="AW1102" t="inlineStr">
        <is>
          <t>365415491:eng</t>
        </is>
      </c>
      <c r="AX1102" t="inlineStr">
        <is>
          <t>6298529</t>
        </is>
      </c>
      <c r="AY1102" t="inlineStr">
        <is>
          <t>991004958999702656</t>
        </is>
      </c>
      <c r="AZ1102" t="inlineStr">
        <is>
          <t>991004958999702656</t>
        </is>
      </c>
      <c r="BA1102" t="inlineStr">
        <is>
          <t>2267835480002656</t>
        </is>
      </c>
      <c r="BB1102" t="inlineStr">
        <is>
          <t>BOOK</t>
        </is>
      </c>
      <c r="BD1102" t="inlineStr">
        <is>
          <t>9780935480009</t>
        </is>
      </c>
      <c r="BE1102" t="inlineStr">
        <is>
          <t>32285000683879</t>
        </is>
      </c>
      <c r="BF1102" t="inlineStr">
        <is>
          <t>893338323</t>
        </is>
      </c>
    </row>
    <row r="1103">
      <c r="A1103" t="inlineStr">
        <is>
          <t>No</t>
        </is>
      </c>
      <c r="B1103" t="inlineStr">
        <is>
          <t>CURAL</t>
        </is>
      </c>
      <c r="C1103" t="inlineStr">
        <is>
          <t>SHELVES</t>
        </is>
      </c>
      <c r="D1103" t="inlineStr">
        <is>
          <t>PQ8097.A76 E5 1969</t>
        </is>
      </c>
      <c r="E1103" t="inlineStr">
        <is>
          <t>0                      PQ 8097000A  76                 E  5           1969</t>
        </is>
      </c>
      <c r="F1103" t="inlineStr">
        <is>
          <t>La endemoniada de Santiago : novela / Braulio Arenas.</t>
        </is>
      </c>
      <c r="H1103" t="inlineStr">
        <is>
          <t>No</t>
        </is>
      </c>
      <c r="I1103" t="inlineStr">
        <is>
          <t>1</t>
        </is>
      </c>
      <c r="J1103" t="inlineStr">
        <is>
          <t>No</t>
        </is>
      </c>
      <c r="K1103" t="inlineStr">
        <is>
          <t>No</t>
        </is>
      </c>
      <c r="L1103" t="inlineStr">
        <is>
          <t>0</t>
        </is>
      </c>
      <c r="M1103" t="inlineStr">
        <is>
          <t>Arenas, Braulio.</t>
        </is>
      </c>
      <c r="N1103" t="inlineStr">
        <is>
          <t>Caracas : Monte Avila Editores, [1969]</t>
        </is>
      </c>
      <c r="O1103" t="inlineStr">
        <is>
          <t>1969</t>
        </is>
      </c>
      <c r="Q1103" t="inlineStr">
        <is>
          <t>spa</t>
        </is>
      </c>
      <c r="R1103" t="inlineStr">
        <is>
          <t xml:space="preserve">ve </t>
        </is>
      </c>
      <c r="S1103" t="inlineStr">
        <is>
          <t>Colección Continente</t>
        </is>
      </c>
      <c r="T1103" t="inlineStr">
        <is>
          <t xml:space="preserve">PQ </t>
        </is>
      </c>
      <c r="U1103" t="n">
        <v>1</v>
      </c>
      <c r="V1103" t="n">
        <v>1</v>
      </c>
      <c r="W1103" t="inlineStr">
        <is>
          <t>2002-04-03</t>
        </is>
      </c>
      <c r="X1103" t="inlineStr">
        <is>
          <t>2002-04-03</t>
        </is>
      </c>
      <c r="Y1103" t="inlineStr">
        <is>
          <t>2002-03-07</t>
        </is>
      </c>
      <c r="Z1103" t="inlineStr">
        <is>
          <t>2002-03-07</t>
        </is>
      </c>
      <c r="AA1103" t="n">
        <v>81</v>
      </c>
      <c r="AB1103" t="n">
        <v>58</v>
      </c>
      <c r="AC1103" t="n">
        <v>69</v>
      </c>
      <c r="AD1103" t="n">
        <v>2</v>
      </c>
      <c r="AE1103" t="n">
        <v>2</v>
      </c>
      <c r="AF1103" t="n">
        <v>2</v>
      </c>
      <c r="AG1103" t="n">
        <v>2</v>
      </c>
      <c r="AH1103" t="n">
        <v>0</v>
      </c>
      <c r="AI1103" t="n">
        <v>0</v>
      </c>
      <c r="AJ1103" t="n">
        <v>1</v>
      </c>
      <c r="AK1103" t="n">
        <v>1</v>
      </c>
      <c r="AL1103" t="n">
        <v>1</v>
      </c>
      <c r="AM1103" t="n">
        <v>1</v>
      </c>
      <c r="AN1103" t="n">
        <v>1</v>
      </c>
      <c r="AO1103" t="n">
        <v>1</v>
      </c>
      <c r="AP1103" t="n">
        <v>0</v>
      </c>
      <c r="AQ1103" t="n">
        <v>0</v>
      </c>
      <c r="AR1103" t="inlineStr">
        <is>
          <t>No</t>
        </is>
      </c>
      <c r="AS1103" t="inlineStr">
        <is>
          <t>Yes</t>
        </is>
      </c>
      <c r="AT1103">
        <f>HYPERLINK("http://catalog.hathitrust.org/Record/101388324","HathiTrust Record")</f>
        <v/>
      </c>
      <c r="AU1103">
        <f>HYPERLINK("https://creighton-primo.hosted.exlibrisgroup.com/primo-explore/search?tab=default_tab&amp;search_scope=EVERYTHING&amp;vid=01CRU&amp;lang=en_US&amp;offset=0&amp;query=any,contains,991003759169702656","Catalog Record")</f>
        <v/>
      </c>
      <c r="AV1103">
        <f>HYPERLINK("http://www.worldcat.org/oclc/1267504","WorldCat Record")</f>
        <v/>
      </c>
      <c r="AW1103" t="inlineStr">
        <is>
          <t>365615461:spa</t>
        </is>
      </c>
      <c r="AX1103" t="inlineStr">
        <is>
          <t>1267504</t>
        </is>
      </c>
      <c r="AY1103" t="inlineStr">
        <is>
          <t>991003759169702656</t>
        </is>
      </c>
      <c r="AZ1103" t="inlineStr">
        <is>
          <t>991003759169702656</t>
        </is>
      </c>
      <c r="BA1103" t="inlineStr">
        <is>
          <t>2258301420002656</t>
        </is>
      </c>
      <c r="BB1103" t="inlineStr">
        <is>
          <t>BOOK</t>
        </is>
      </c>
      <c r="BE1103" t="inlineStr">
        <is>
          <t>32285004459938</t>
        </is>
      </c>
      <c r="BF1103" t="inlineStr">
        <is>
          <t>893711750</t>
        </is>
      </c>
    </row>
    <row r="1104">
      <c r="A1104" t="inlineStr">
        <is>
          <t>No</t>
        </is>
      </c>
      <c r="B1104" t="inlineStr">
        <is>
          <t>CURAL</t>
        </is>
      </c>
      <c r="C1104" t="inlineStr">
        <is>
          <t>SHELVES</t>
        </is>
      </c>
      <c r="D1104" t="inlineStr">
        <is>
          <t>PQ8097.B5 I3 1964</t>
        </is>
      </c>
      <c r="E1104" t="inlineStr">
        <is>
          <t>0                      PQ 8097000B  5                  I  3           1964</t>
        </is>
      </c>
      <c r="F1104" t="inlineStr">
        <is>
          <t>El ideal de un calavera.</t>
        </is>
      </c>
      <c r="H1104" t="inlineStr">
        <is>
          <t>No</t>
        </is>
      </c>
      <c r="I1104" t="inlineStr">
        <is>
          <t>1</t>
        </is>
      </c>
      <c r="J1104" t="inlineStr">
        <is>
          <t>No</t>
        </is>
      </c>
      <c r="K1104" t="inlineStr">
        <is>
          <t>No</t>
        </is>
      </c>
      <c r="L1104" t="inlineStr">
        <is>
          <t>0</t>
        </is>
      </c>
      <c r="M1104" t="inlineStr">
        <is>
          <t>Blest Gana, Alberto, 1830-1920.</t>
        </is>
      </c>
      <c r="N1104" t="inlineStr">
        <is>
          <t>Santiago de Chile, Zig-Zag, 1964.</t>
        </is>
      </c>
      <c r="O1104" t="inlineStr">
        <is>
          <t>1964</t>
        </is>
      </c>
      <c r="P1104" t="inlineStr">
        <is>
          <t>6. ed.</t>
        </is>
      </c>
      <c r="Q1104" t="inlineStr">
        <is>
          <t>spa</t>
        </is>
      </c>
      <c r="R1104" t="inlineStr">
        <is>
          <t xml:space="preserve">xx </t>
        </is>
      </c>
      <c r="S1104" t="inlineStr">
        <is>
          <t>Biblioteca de novelistas</t>
        </is>
      </c>
      <c r="T1104" t="inlineStr">
        <is>
          <t xml:space="preserve">PQ </t>
        </is>
      </c>
      <c r="U1104" t="n">
        <v>1</v>
      </c>
      <c r="V1104" t="n">
        <v>1</v>
      </c>
      <c r="W1104" t="inlineStr">
        <is>
          <t>2001-11-19</t>
        </is>
      </c>
      <c r="X1104" t="inlineStr">
        <is>
          <t>2001-11-19</t>
        </is>
      </c>
      <c r="Y1104" t="inlineStr">
        <is>
          <t>1997-08-08</t>
        </is>
      </c>
      <c r="Z1104" t="inlineStr">
        <is>
          <t>1997-08-08</t>
        </is>
      </c>
      <c r="AA1104" t="n">
        <v>50</v>
      </c>
      <c r="AB1104" t="n">
        <v>38</v>
      </c>
      <c r="AC1104" t="n">
        <v>162</v>
      </c>
      <c r="AD1104" t="n">
        <v>1</v>
      </c>
      <c r="AE1104" t="n">
        <v>2</v>
      </c>
      <c r="AF1104" t="n">
        <v>3</v>
      </c>
      <c r="AG1104" t="n">
        <v>7</v>
      </c>
      <c r="AH1104" t="n">
        <v>0</v>
      </c>
      <c r="AI1104" t="n">
        <v>2</v>
      </c>
      <c r="AJ1104" t="n">
        <v>2</v>
      </c>
      <c r="AK1104" t="n">
        <v>2</v>
      </c>
      <c r="AL1104" t="n">
        <v>3</v>
      </c>
      <c r="AM1104" t="n">
        <v>4</v>
      </c>
      <c r="AN1104" t="n">
        <v>0</v>
      </c>
      <c r="AO1104" t="n">
        <v>1</v>
      </c>
      <c r="AP1104" t="n">
        <v>0</v>
      </c>
      <c r="AQ1104" t="n">
        <v>0</v>
      </c>
      <c r="AR1104" t="inlineStr">
        <is>
          <t>No</t>
        </is>
      </c>
      <c r="AS1104" t="inlineStr">
        <is>
          <t>No</t>
        </is>
      </c>
      <c r="AU1104">
        <f>HYPERLINK("https://creighton-primo.hosted.exlibrisgroup.com/primo-explore/search?tab=default_tab&amp;search_scope=EVERYTHING&amp;vid=01CRU&amp;lang=en_US&amp;offset=0&amp;query=any,contains,991001973909702656","Catalog Record")</f>
        <v/>
      </c>
      <c r="AV1104">
        <f>HYPERLINK("http://www.worldcat.org/oclc/254284","WorldCat Record")</f>
        <v/>
      </c>
      <c r="AW1104" t="inlineStr">
        <is>
          <t>348705047:spa</t>
        </is>
      </c>
      <c r="AX1104" t="inlineStr">
        <is>
          <t>254284</t>
        </is>
      </c>
      <c r="AY1104" t="inlineStr">
        <is>
          <t>991001973909702656</t>
        </is>
      </c>
      <c r="AZ1104" t="inlineStr">
        <is>
          <t>991001973909702656</t>
        </is>
      </c>
      <c r="BA1104" t="inlineStr">
        <is>
          <t>2269388620002656</t>
        </is>
      </c>
      <c r="BB1104" t="inlineStr">
        <is>
          <t>BOOK</t>
        </is>
      </c>
      <c r="BE1104" t="inlineStr">
        <is>
          <t>32285003061578</t>
        </is>
      </c>
      <c r="BF1104" t="inlineStr">
        <is>
          <t>893709720</t>
        </is>
      </c>
    </row>
    <row r="1105">
      <c r="A1105" t="inlineStr">
        <is>
          <t>No</t>
        </is>
      </c>
      <c r="B1105" t="inlineStr">
        <is>
          <t>CURAL</t>
        </is>
      </c>
      <c r="C1105" t="inlineStr">
        <is>
          <t>SHELVES</t>
        </is>
      </c>
      <c r="D1105" t="inlineStr">
        <is>
          <t>PQ8097.B5 L6</t>
        </is>
      </c>
      <c r="E1105" t="inlineStr">
        <is>
          <t>0                      PQ 8097000B  5                  L  6</t>
        </is>
      </c>
      <c r="F1105" t="inlineStr">
        <is>
          <t>El loco Estero : y Gladys Fairfield / Alberto Blest Gana ; prólogo de Hernán Díaz Arrieta (Alone).</t>
        </is>
      </c>
      <c r="H1105" t="inlineStr">
        <is>
          <t>No</t>
        </is>
      </c>
      <c r="I1105" t="inlineStr">
        <is>
          <t>1</t>
        </is>
      </c>
      <c r="J1105" t="inlineStr">
        <is>
          <t>No</t>
        </is>
      </c>
      <c r="K1105" t="inlineStr">
        <is>
          <t>No</t>
        </is>
      </c>
      <c r="L1105" t="inlineStr">
        <is>
          <t>0</t>
        </is>
      </c>
      <c r="M1105" t="inlineStr">
        <is>
          <t>Blest Gana, Alberto, 1830-1920.</t>
        </is>
      </c>
      <c r="N1105" t="inlineStr">
        <is>
          <t>[Santiago de Chile] : Zig-Zag, [196-?]</t>
        </is>
      </c>
      <c r="O1105" t="inlineStr">
        <is>
          <t>1960</t>
        </is>
      </c>
      <c r="P1105" t="inlineStr">
        <is>
          <t>7. ed.</t>
        </is>
      </c>
      <c r="Q1105" t="inlineStr">
        <is>
          <t>spa</t>
        </is>
      </c>
      <c r="R1105" t="inlineStr">
        <is>
          <t xml:space="preserve">xx </t>
        </is>
      </c>
      <c r="S1105" t="inlineStr">
        <is>
          <t>Colección universal</t>
        </is>
      </c>
      <c r="T1105" t="inlineStr">
        <is>
          <t xml:space="preserve">PQ </t>
        </is>
      </c>
      <c r="U1105" t="n">
        <v>1</v>
      </c>
      <c r="V1105" t="n">
        <v>1</v>
      </c>
      <c r="W1105" t="inlineStr">
        <is>
          <t>2001-11-19</t>
        </is>
      </c>
      <c r="X1105" t="inlineStr">
        <is>
          <t>2001-11-19</t>
        </is>
      </c>
      <c r="Y1105" t="inlineStr">
        <is>
          <t>1997-08-08</t>
        </is>
      </c>
      <c r="Z1105" t="inlineStr">
        <is>
          <t>1997-08-08</t>
        </is>
      </c>
      <c r="AA1105" t="n">
        <v>75</v>
      </c>
      <c r="AB1105" t="n">
        <v>62</v>
      </c>
      <c r="AC1105" t="n">
        <v>72</v>
      </c>
      <c r="AD1105" t="n">
        <v>2</v>
      </c>
      <c r="AE1105" t="n">
        <v>2</v>
      </c>
      <c r="AF1105" t="n">
        <v>4</v>
      </c>
      <c r="AG1105" t="n">
        <v>4</v>
      </c>
      <c r="AH1105" t="n">
        <v>1</v>
      </c>
      <c r="AI1105" t="n">
        <v>1</v>
      </c>
      <c r="AJ1105" t="n">
        <v>2</v>
      </c>
      <c r="AK1105" t="n">
        <v>2</v>
      </c>
      <c r="AL1105" t="n">
        <v>2</v>
      </c>
      <c r="AM1105" t="n">
        <v>2</v>
      </c>
      <c r="AN1105" t="n">
        <v>1</v>
      </c>
      <c r="AO1105" t="n">
        <v>1</v>
      </c>
      <c r="AP1105" t="n">
        <v>0</v>
      </c>
      <c r="AQ1105" t="n">
        <v>0</v>
      </c>
      <c r="AR1105" t="inlineStr">
        <is>
          <t>No</t>
        </is>
      </c>
      <c r="AS1105" t="inlineStr">
        <is>
          <t>Yes</t>
        </is>
      </c>
      <c r="AT1105">
        <f>HYPERLINK("http://catalog.hathitrust.org/Record/006683757","HathiTrust Record")</f>
        <v/>
      </c>
      <c r="AU1105">
        <f>HYPERLINK("https://creighton-primo.hosted.exlibrisgroup.com/primo-explore/search?tab=default_tab&amp;search_scope=EVERYTHING&amp;vid=01CRU&amp;lang=en_US&amp;offset=0&amp;query=any,contains,991004027459702656","Catalog Record")</f>
        <v/>
      </c>
      <c r="AV1105">
        <f>HYPERLINK("http://www.worldcat.org/oclc/2140779","WorldCat Record")</f>
        <v/>
      </c>
      <c r="AW1105" t="inlineStr">
        <is>
          <t>3855470860:spa</t>
        </is>
      </c>
      <c r="AX1105" t="inlineStr">
        <is>
          <t>2140779</t>
        </is>
      </c>
      <c r="AY1105" t="inlineStr">
        <is>
          <t>991004027459702656</t>
        </is>
      </c>
      <c r="AZ1105" t="inlineStr">
        <is>
          <t>991004027459702656</t>
        </is>
      </c>
      <c r="BA1105" t="inlineStr">
        <is>
          <t>2257765610002656</t>
        </is>
      </c>
      <c r="BB1105" t="inlineStr">
        <is>
          <t>BOOK</t>
        </is>
      </c>
      <c r="BE1105" t="inlineStr">
        <is>
          <t>32285003061610</t>
        </is>
      </c>
      <c r="BF1105" t="inlineStr">
        <is>
          <t>893687266</t>
        </is>
      </c>
    </row>
    <row r="1106">
      <c r="A1106" t="inlineStr">
        <is>
          <t>No</t>
        </is>
      </c>
      <c r="B1106" t="inlineStr">
        <is>
          <t>CURAL</t>
        </is>
      </c>
      <c r="C1106" t="inlineStr">
        <is>
          <t>SHELVES</t>
        </is>
      </c>
      <c r="D1106" t="inlineStr">
        <is>
          <t>PQ8097.B5 M3 1977</t>
        </is>
      </c>
      <c r="E1106" t="inlineStr">
        <is>
          <t>0                      PQ 8097000B  5                  M  3           1977</t>
        </is>
      </c>
      <c r="F1106" t="inlineStr">
        <is>
          <t>Martín Rivas : novela de costumbres político-sociales / Alberto Blest Gana ; prólogo, notas, y cronología, Jaime Concha.</t>
        </is>
      </c>
      <c r="H1106" t="inlineStr">
        <is>
          <t>No</t>
        </is>
      </c>
      <c r="I1106" t="inlineStr">
        <is>
          <t>1</t>
        </is>
      </c>
      <c r="J1106" t="inlineStr">
        <is>
          <t>No</t>
        </is>
      </c>
      <c r="K1106" t="inlineStr">
        <is>
          <t>Yes</t>
        </is>
      </c>
      <c r="L1106" t="inlineStr">
        <is>
          <t>0</t>
        </is>
      </c>
      <c r="M1106" t="inlineStr">
        <is>
          <t>Blest Gana, Alberto, 1830-1920.</t>
        </is>
      </c>
      <c r="N1106" t="inlineStr">
        <is>
          <t>[Caracas] : Biblioteca Ayacucho, [1977]</t>
        </is>
      </c>
      <c r="O1106" t="inlineStr">
        <is>
          <t>1977</t>
        </is>
      </c>
      <c r="Q1106" t="inlineStr">
        <is>
          <t>spa</t>
        </is>
      </c>
      <c r="R1106" t="inlineStr">
        <is>
          <t xml:space="preserve">ve </t>
        </is>
      </c>
      <c r="S1106" t="inlineStr">
        <is>
          <t>Biblioteca Ayacucho ; 17</t>
        </is>
      </c>
      <c r="T1106" t="inlineStr">
        <is>
          <t xml:space="preserve">PQ </t>
        </is>
      </c>
      <c r="U1106" t="n">
        <v>1</v>
      </c>
      <c r="V1106" t="n">
        <v>1</v>
      </c>
      <c r="W1106" t="inlineStr">
        <is>
          <t>2001-11-19</t>
        </is>
      </c>
      <c r="X1106" t="inlineStr">
        <is>
          <t>2001-11-19</t>
        </is>
      </c>
      <c r="Y1106" t="inlineStr">
        <is>
          <t>2001-11-19</t>
        </is>
      </c>
      <c r="Z1106" t="inlineStr">
        <is>
          <t>2001-11-19</t>
        </is>
      </c>
      <c r="AA1106" t="n">
        <v>134</v>
      </c>
      <c r="AB1106" t="n">
        <v>97</v>
      </c>
      <c r="AC1106" t="n">
        <v>360</v>
      </c>
      <c r="AD1106" t="n">
        <v>2</v>
      </c>
      <c r="AE1106" t="n">
        <v>2</v>
      </c>
      <c r="AF1106" t="n">
        <v>5</v>
      </c>
      <c r="AG1106" t="n">
        <v>19</v>
      </c>
      <c r="AH1106" t="n">
        <v>1</v>
      </c>
      <c r="AI1106" t="n">
        <v>8</v>
      </c>
      <c r="AJ1106" t="n">
        <v>3</v>
      </c>
      <c r="AK1106" t="n">
        <v>5</v>
      </c>
      <c r="AL1106" t="n">
        <v>2</v>
      </c>
      <c r="AM1106" t="n">
        <v>12</v>
      </c>
      <c r="AN1106" t="n">
        <v>1</v>
      </c>
      <c r="AO1106" t="n">
        <v>1</v>
      </c>
      <c r="AP1106" t="n">
        <v>0</v>
      </c>
      <c r="AQ1106" t="n">
        <v>0</v>
      </c>
      <c r="AR1106" t="inlineStr">
        <is>
          <t>No</t>
        </is>
      </c>
      <c r="AS1106" t="inlineStr">
        <is>
          <t>Yes</t>
        </is>
      </c>
      <c r="AT1106">
        <f>HYPERLINK("http://catalog.hathitrust.org/Record/000030044","HathiTrust Record")</f>
        <v/>
      </c>
      <c r="AU1106">
        <f>HYPERLINK("https://creighton-primo.hosted.exlibrisgroup.com/primo-explore/search?tab=default_tab&amp;search_scope=EVERYTHING&amp;vid=01CRU&amp;lang=en_US&amp;offset=0&amp;query=any,contains,991003682969702656","Catalog Record")</f>
        <v/>
      </c>
      <c r="AV1106">
        <f>HYPERLINK("http://www.worldcat.org/oclc/3857065","WorldCat Record")</f>
        <v/>
      </c>
      <c r="AW1106" t="inlineStr">
        <is>
          <t>5342631044:spa</t>
        </is>
      </c>
      <c r="AX1106" t="inlineStr">
        <is>
          <t>3857065</t>
        </is>
      </c>
      <c r="AY1106" t="inlineStr">
        <is>
          <t>991003682969702656</t>
        </is>
      </c>
      <c r="AZ1106" t="inlineStr">
        <is>
          <t>991003682969702656</t>
        </is>
      </c>
      <c r="BA1106" t="inlineStr">
        <is>
          <t>2262674770002656</t>
        </is>
      </c>
      <c r="BB1106" t="inlineStr">
        <is>
          <t>BOOK</t>
        </is>
      </c>
      <c r="BE1106" t="inlineStr">
        <is>
          <t>32285004412655</t>
        </is>
      </c>
      <c r="BF1106" t="inlineStr">
        <is>
          <t>893887750</t>
        </is>
      </c>
    </row>
    <row r="1107">
      <c r="A1107" t="inlineStr">
        <is>
          <t>No</t>
        </is>
      </c>
      <c r="B1107" t="inlineStr">
        <is>
          <t>CURAL</t>
        </is>
      </c>
      <c r="C1107" t="inlineStr">
        <is>
          <t>SHELVES</t>
        </is>
      </c>
      <c r="D1107" t="inlineStr">
        <is>
          <t>PQ8097.B5 P3 1968</t>
        </is>
      </c>
      <c r="E1107" t="inlineStr">
        <is>
          <t>0                      PQ 8097000B  5                  P  3           1968</t>
        </is>
      </c>
      <c r="F1107" t="inlineStr">
        <is>
          <t>El pago de las deudas / Alberto Blest Gana.</t>
        </is>
      </c>
      <c r="H1107" t="inlineStr">
        <is>
          <t>No</t>
        </is>
      </c>
      <c r="I1107" t="inlineStr">
        <is>
          <t>1</t>
        </is>
      </c>
      <c r="J1107" t="inlineStr">
        <is>
          <t>No</t>
        </is>
      </c>
      <c r="K1107" t="inlineStr">
        <is>
          <t>No</t>
        </is>
      </c>
      <c r="L1107" t="inlineStr">
        <is>
          <t>0</t>
        </is>
      </c>
      <c r="M1107" t="inlineStr">
        <is>
          <t>Blest Gana, Alberto, 1830-1920.</t>
        </is>
      </c>
      <c r="N1107" t="inlineStr">
        <is>
          <t>[Santiago de Chile] : Zig-Zag, [1968]</t>
        </is>
      </c>
      <c r="O1107" t="inlineStr">
        <is>
          <t>1968</t>
        </is>
      </c>
      <c r="P1107" t="inlineStr">
        <is>
          <t>3. ed.</t>
        </is>
      </c>
      <c r="Q1107" t="inlineStr">
        <is>
          <t>eng</t>
        </is>
      </c>
      <c r="R1107" t="inlineStr">
        <is>
          <t xml:space="preserve">cl </t>
        </is>
      </c>
      <c r="S1107" t="inlineStr">
        <is>
          <t>Coleccion Narradores chilenos</t>
        </is>
      </c>
      <c r="T1107" t="inlineStr">
        <is>
          <t xml:space="preserve">PQ </t>
        </is>
      </c>
      <c r="U1107" t="n">
        <v>1</v>
      </c>
      <c r="V1107" t="n">
        <v>1</v>
      </c>
      <c r="W1107" t="inlineStr">
        <is>
          <t>2001-11-19</t>
        </is>
      </c>
      <c r="X1107" t="inlineStr">
        <is>
          <t>2001-11-19</t>
        </is>
      </c>
      <c r="Y1107" t="inlineStr">
        <is>
          <t>1997-08-08</t>
        </is>
      </c>
      <c r="Z1107" t="inlineStr">
        <is>
          <t>1997-08-08</t>
        </is>
      </c>
      <c r="AA1107" t="n">
        <v>46</v>
      </c>
      <c r="AB1107" t="n">
        <v>31</v>
      </c>
      <c r="AC1107" t="n">
        <v>36</v>
      </c>
      <c r="AD1107" t="n">
        <v>2</v>
      </c>
      <c r="AE1107" t="n">
        <v>2</v>
      </c>
      <c r="AF1107" t="n">
        <v>1</v>
      </c>
      <c r="AG1107" t="n">
        <v>1</v>
      </c>
      <c r="AH1107" t="n">
        <v>0</v>
      </c>
      <c r="AI1107" t="n">
        <v>0</v>
      </c>
      <c r="AJ1107" t="n">
        <v>0</v>
      </c>
      <c r="AK1107" t="n">
        <v>0</v>
      </c>
      <c r="AL1107" t="n">
        <v>0</v>
      </c>
      <c r="AM1107" t="n">
        <v>0</v>
      </c>
      <c r="AN1107" t="n">
        <v>1</v>
      </c>
      <c r="AO1107" t="n">
        <v>1</v>
      </c>
      <c r="AP1107" t="n">
        <v>0</v>
      </c>
      <c r="AQ1107" t="n">
        <v>0</v>
      </c>
      <c r="AR1107" t="inlineStr">
        <is>
          <t>No</t>
        </is>
      </c>
      <c r="AS1107" t="inlineStr">
        <is>
          <t>No</t>
        </is>
      </c>
      <c r="AU1107">
        <f>HYPERLINK("https://creighton-primo.hosted.exlibrisgroup.com/primo-explore/search?tab=default_tab&amp;search_scope=EVERYTHING&amp;vid=01CRU&amp;lang=en_US&amp;offset=0&amp;query=any,contains,991003966999702656","Catalog Record")</f>
        <v/>
      </c>
      <c r="AV1107">
        <f>HYPERLINK("http://www.worldcat.org/oclc/1987032","WorldCat Record")</f>
        <v/>
      </c>
      <c r="AW1107" t="inlineStr">
        <is>
          <t>21877922:eng</t>
        </is>
      </c>
      <c r="AX1107" t="inlineStr">
        <is>
          <t>1987032</t>
        </is>
      </c>
      <c r="AY1107" t="inlineStr">
        <is>
          <t>991003966999702656</t>
        </is>
      </c>
      <c r="AZ1107" t="inlineStr">
        <is>
          <t>991003966999702656</t>
        </is>
      </c>
      <c r="BA1107" t="inlineStr">
        <is>
          <t>2267720770002656</t>
        </is>
      </c>
      <c r="BB1107" t="inlineStr">
        <is>
          <t>BOOK</t>
        </is>
      </c>
      <c r="BE1107" t="inlineStr">
        <is>
          <t>32285003061586</t>
        </is>
      </c>
      <c r="BF1107" t="inlineStr">
        <is>
          <t>893324771</t>
        </is>
      </c>
    </row>
    <row r="1108">
      <c r="A1108" t="inlineStr">
        <is>
          <t>No</t>
        </is>
      </c>
      <c r="B1108" t="inlineStr">
        <is>
          <t>CURAL</t>
        </is>
      </c>
      <c r="C1108" t="inlineStr">
        <is>
          <t>SHELVES</t>
        </is>
      </c>
      <c r="D1108" t="inlineStr">
        <is>
          <t>PQ8097.B67 U4 1991</t>
        </is>
      </c>
      <c r="E1108" t="inlineStr">
        <is>
          <t>0                      PQ 8097000B  67                 U  4           1991</t>
        </is>
      </c>
      <c r="F1108" t="inlineStr">
        <is>
          <t>La dulce niebla : lectura femenina y chilena de María Luisa Bombal / Susana Munnich.</t>
        </is>
      </c>
      <c r="H1108" t="inlineStr">
        <is>
          <t>No</t>
        </is>
      </c>
      <c r="I1108" t="inlineStr">
        <is>
          <t>1</t>
        </is>
      </c>
      <c r="J1108" t="inlineStr">
        <is>
          <t>No</t>
        </is>
      </c>
      <c r="K1108" t="inlineStr">
        <is>
          <t>No</t>
        </is>
      </c>
      <c r="L1108" t="inlineStr">
        <is>
          <t>0</t>
        </is>
      </c>
      <c r="M1108" t="inlineStr">
        <is>
          <t>Munnich, Susana.</t>
        </is>
      </c>
      <c r="N1108" t="inlineStr">
        <is>
          <t>Santiago de Chile : Editorial Universitaria, c1991.</t>
        </is>
      </c>
      <c r="O1108" t="inlineStr">
        <is>
          <t>1991</t>
        </is>
      </c>
      <c r="Q1108" t="inlineStr">
        <is>
          <t>spa</t>
        </is>
      </c>
      <c r="R1108" t="inlineStr">
        <is>
          <t xml:space="preserve">cl </t>
        </is>
      </c>
      <c r="S1108" t="inlineStr">
        <is>
          <t>Colección El Saber y la cultura</t>
        </is>
      </c>
      <c r="T1108" t="inlineStr">
        <is>
          <t xml:space="preserve">PQ </t>
        </is>
      </c>
      <c r="U1108" t="n">
        <v>6</v>
      </c>
      <c r="V1108" t="n">
        <v>6</v>
      </c>
      <c r="W1108" t="inlineStr">
        <is>
          <t>2001-11-19</t>
        </is>
      </c>
      <c r="X1108" t="inlineStr">
        <is>
          <t>2001-11-19</t>
        </is>
      </c>
      <c r="Y1108" t="inlineStr">
        <is>
          <t>1996-06-19</t>
        </is>
      </c>
      <c r="Z1108" t="inlineStr">
        <is>
          <t>1996-06-19</t>
        </is>
      </c>
      <c r="AA1108" t="n">
        <v>77</v>
      </c>
      <c r="AB1108" t="n">
        <v>64</v>
      </c>
      <c r="AC1108" t="n">
        <v>64</v>
      </c>
      <c r="AD1108" t="n">
        <v>1</v>
      </c>
      <c r="AE1108" t="n">
        <v>1</v>
      </c>
      <c r="AF1108" t="n">
        <v>2</v>
      </c>
      <c r="AG1108" t="n">
        <v>2</v>
      </c>
      <c r="AH1108" t="n">
        <v>0</v>
      </c>
      <c r="AI1108" t="n">
        <v>0</v>
      </c>
      <c r="AJ1108" t="n">
        <v>1</v>
      </c>
      <c r="AK1108" t="n">
        <v>1</v>
      </c>
      <c r="AL1108" t="n">
        <v>1</v>
      </c>
      <c r="AM1108" t="n">
        <v>1</v>
      </c>
      <c r="AN1108" t="n">
        <v>0</v>
      </c>
      <c r="AO1108" t="n">
        <v>0</v>
      </c>
      <c r="AP1108" t="n">
        <v>0</v>
      </c>
      <c r="AQ1108" t="n">
        <v>0</v>
      </c>
      <c r="AR1108" t="inlineStr">
        <is>
          <t>No</t>
        </is>
      </c>
      <c r="AS1108" t="inlineStr">
        <is>
          <t>No</t>
        </is>
      </c>
      <c r="AU1108">
        <f>HYPERLINK("https://creighton-primo.hosted.exlibrisgroup.com/primo-explore/search?tab=default_tab&amp;search_scope=EVERYTHING&amp;vid=01CRU&amp;lang=en_US&amp;offset=0&amp;query=any,contains,991001937499702656","Catalog Record")</f>
        <v/>
      </c>
      <c r="AV1108">
        <f>HYPERLINK("http://www.worldcat.org/oclc/24468508","WorldCat Record")</f>
        <v/>
      </c>
      <c r="AW1108" t="inlineStr">
        <is>
          <t>890990525:spa</t>
        </is>
      </c>
      <c r="AX1108" t="inlineStr">
        <is>
          <t>24468508</t>
        </is>
      </c>
      <c r="AY1108" t="inlineStr">
        <is>
          <t>991001937499702656</t>
        </is>
      </c>
      <c r="AZ1108" t="inlineStr">
        <is>
          <t>991001937499702656</t>
        </is>
      </c>
      <c r="BA1108" t="inlineStr">
        <is>
          <t>2271118130002656</t>
        </is>
      </c>
      <c r="BB1108" t="inlineStr">
        <is>
          <t>BOOK</t>
        </is>
      </c>
      <c r="BE1108" t="inlineStr">
        <is>
          <t>32285002170610</t>
        </is>
      </c>
      <c r="BF1108" t="inlineStr">
        <is>
          <t>893427030</t>
        </is>
      </c>
    </row>
    <row r="1109">
      <c r="A1109" t="inlineStr">
        <is>
          <t>No</t>
        </is>
      </c>
      <c r="B1109" t="inlineStr">
        <is>
          <t>CURAL</t>
        </is>
      </c>
      <c r="C1109" t="inlineStr">
        <is>
          <t>SHELVES</t>
        </is>
      </c>
      <c r="D1109" t="inlineStr">
        <is>
          <t>PQ8097.D48 A6 1988</t>
        </is>
      </c>
      <c r="E1109" t="inlineStr">
        <is>
          <t>0                      PQ 8097000D  48                 A  6           1988</t>
        </is>
      </c>
      <c r="F1109" t="inlineStr">
        <is>
          <t>Obra poética / Humberto Díaz-Casanueva ; selección, prólogo, cronología y bibliografía, Ana María Del Re.</t>
        </is>
      </c>
      <c r="H1109" t="inlineStr">
        <is>
          <t>No</t>
        </is>
      </c>
      <c r="I1109" t="inlineStr">
        <is>
          <t>1</t>
        </is>
      </c>
      <c r="J1109" t="inlineStr">
        <is>
          <t>No</t>
        </is>
      </c>
      <c r="K1109" t="inlineStr">
        <is>
          <t>No</t>
        </is>
      </c>
      <c r="L1109" t="inlineStr">
        <is>
          <t>0</t>
        </is>
      </c>
      <c r="M1109" t="inlineStr">
        <is>
          <t>Díaz Casanueva, Humberto, 1907-</t>
        </is>
      </c>
      <c r="N1109" t="inlineStr">
        <is>
          <t>Caracas, Venezuela : Biblioteca Ayacucho, [1988].</t>
        </is>
      </c>
      <c r="O1109" t="inlineStr">
        <is>
          <t>1988</t>
        </is>
      </c>
      <c r="Q1109" t="inlineStr">
        <is>
          <t>spa</t>
        </is>
      </c>
      <c r="R1109" t="inlineStr">
        <is>
          <t xml:space="preserve">ve </t>
        </is>
      </c>
      <c r="S1109" t="inlineStr">
        <is>
          <t>Biblioteca Ayacucho ; 131</t>
        </is>
      </c>
      <c r="T1109" t="inlineStr">
        <is>
          <t xml:space="preserve">PQ </t>
        </is>
      </c>
      <c r="U1109" t="n">
        <v>1</v>
      </c>
      <c r="V1109" t="n">
        <v>1</v>
      </c>
      <c r="W1109" t="inlineStr">
        <is>
          <t>2001-11-19</t>
        </is>
      </c>
      <c r="X1109" t="inlineStr">
        <is>
          <t>2001-11-19</t>
        </is>
      </c>
      <c r="Y1109" t="inlineStr">
        <is>
          <t>2001-11-19</t>
        </is>
      </c>
      <c r="Z1109" t="inlineStr">
        <is>
          <t>2001-11-19</t>
        </is>
      </c>
      <c r="AA1109" t="n">
        <v>117</v>
      </c>
      <c r="AB1109" t="n">
        <v>77</v>
      </c>
      <c r="AC1109" t="n">
        <v>79</v>
      </c>
      <c r="AD1109" t="n">
        <v>2</v>
      </c>
      <c r="AE1109" t="n">
        <v>2</v>
      </c>
      <c r="AF1109" t="n">
        <v>5</v>
      </c>
      <c r="AG1109" t="n">
        <v>5</v>
      </c>
      <c r="AH1109" t="n">
        <v>0</v>
      </c>
      <c r="AI1109" t="n">
        <v>0</v>
      </c>
      <c r="AJ1109" t="n">
        <v>3</v>
      </c>
      <c r="AK1109" t="n">
        <v>3</v>
      </c>
      <c r="AL1109" t="n">
        <v>3</v>
      </c>
      <c r="AM1109" t="n">
        <v>3</v>
      </c>
      <c r="AN1109" t="n">
        <v>1</v>
      </c>
      <c r="AO1109" t="n">
        <v>1</v>
      </c>
      <c r="AP1109" t="n">
        <v>0</v>
      </c>
      <c r="AQ1109" t="n">
        <v>0</v>
      </c>
      <c r="AR1109" t="inlineStr">
        <is>
          <t>No</t>
        </is>
      </c>
      <c r="AS1109" t="inlineStr">
        <is>
          <t>Yes</t>
        </is>
      </c>
      <c r="AT1109">
        <f>HYPERLINK("http://catalog.hathitrust.org/Record/002791432","HathiTrust Record")</f>
        <v/>
      </c>
      <c r="AU1109">
        <f>HYPERLINK("https://creighton-primo.hosted.exlibrisgroup.com/primo-explore/search?tab=default_tab&amp;search_scope=EVERYTHING&amp;vid=01CRU&amp;lang=en_US&amp;offset=0&amp;query=any,contains,991003681509702656","Catalog Record")</f>
        <v/>
      </c>
      <c r="AV1109">
        <f>HYPERLINK("http://www.worldcat.org/oclc/20846842","WorldCat Record")</f>
        <v/>
      </c>
      <c r="AW1109" t="inlineStr">
        <is>
          <t>141649728:spa</t>
        </is>
      </c>
      <c r="AX1109" t="inlineStr">
        <is>
          <t>20846842</t>
        </is>
      </c>
      <c r="AY1109" t="inlineStr">
        <is>
          <t>991003681509702656</t>
        </is>
      </c>
      <c r="AZ1109" t="inlineStr">
        <is>
          <t>991003681509702656</t>
        </is>
      </c>
      <c r="BA1109" t="inlineStr">
        <is>
          <t>2272042950002656</t>
        </is>
      </c>
      <c r="BB1109" t="inlineStr">
        <is>
          <t>BOOK</t>
        </is>
      </c>
      <c r="BD1109" t="inlineStr">
        <is>
          <t>9789802760619</t>
        </is>
      </c>
      <c r="BE1109" t="inlineStr">
        <is>
          <t>32285004412317</t>
        </is>
      </c>
      <c r="BF1109" t="inlineStr">
        <is>
          <t>893499572</t>
        </is>
      </c>
    </row>
    <row r="1110">
      <c r="A1110" t="inlineStr">
        <is>
          <t>No</t>
        </is>
      </c>
      <c r="B1110" t="inlineStr">
        <is>
          <t>CURAL</t>
        </is>
      </c>
      <c r="C1110" t="inlineStr">
        <is>
          <t>SHELVES</t>
        </is>
      </c>
      <c r="D1110" t="inlineStr">
        <is>
          <t>PQ8097.D617 O2</t>
        </is>
      </c>
      <c r="E1110" t="inlineStr">
        <is>
          <t>0                      PQ 8097000D  617                O  2</t>
        </is>
      </c>
      <c r="F1110" t="inlineStr">
        <is>
          <t>El obsceno pájaro de la noche : [novela].</t>
        </is>
      </c>
      <c r="H1110" t="inlineStr">
        <is>
          <t>No</t>
        </is>
      </c>
      <c r="I1110" t="inlineStr">
        <is>
          <t>1</t>
        </is>
      </c>
      <c r="J1110" t="inlineStr">
        <is>
          <t>No</t>
        </is>
      </c>
      <c r="K1110" t="inlineStr">
        <is>
          <t>No</t>
        </is>
      </c>
      <c r="L1110" t="inlineStr">
        <is>
          <t>0</t>
        </is>
      </c>
      <c r="M1110" t="inlineStr">
        <is>
          <t>Donoso, José, 1924-1996.</t>
        </is>
      </c>
      <c r="N1110" t="inlineStr">
        <is>
          <t>Barcelona, Seix Barral [1970]</t>
        </is>
      </c>
      <c r="O1110" t="inlineStr">
        <is>
          <t>1970</t>
        </is>
      </c>
      <c r="P1110" t="inlineStr">
        <is>
          <t>[1. ed.]</t>
        </is>
      </c>
      <c r="Q1110" t="inlineStr">
        <is>
          <t>spa</t>
        </is>
      </c>
      <c r="R1110" t="inlineStr">
        <is>
          <t xml:space="preserve">sp </t>
        </is>
      </c>
      <c r="S1110" t="inlineStr">
        <is>
          <t>Biblioteca breve</t>
        </is>
      </c>
      <c r="T1110" t="inlineStr">
        <is>
          <t xml:space="preserve">PQ </t>
        </is>
      </c>
      <c r="U1110" t="n">
        <v>0</v>
      </c>
      <c r="V1110" t="n">
        <v>0</v>
      </c>
      <c r="W1110" t="inlineStr">
        <is>
          <t>2004-09-23</t>
        </is>
      </c>
      <c r="X1110" t="inlineStr">
        <is>
          <t>2004-09-23</t>
        </is>
      </c>
      <c r="Y1110" t="inlineStr">
        <is>
          <t>1998-03-20</t>
        </is>
      </c>
      <c r="Z1110" t="inlineStr">
        <is>
          <t>1998-03-20</t>
        </is>
      </c>
      <c r="AA1110" t="n">
        <v>287</v>
      </c>
      <c r="AB1110" t="n">
        <v>244</v>
      </c>
      <c r="AC1110" t="n">
        <v>715</v>
      </c>
      <c r="AD1110" t="n">
        <v>3</v>
      </c>
      <c r="AE1110" t="n">
        <v>5</v>
      </c>
      <c r="AF1110" t="n">
        <v>6</v>
      </c>
      <c r="AG1110" t="n">
        <v>33</v>
      </c>
      <c r="AH1110" t="n">
        <v>1</v>
      </c>
      <c r="AI1110" t="n">
        <v>15</v>
      </c>
      <c r="AJ1110" t="n">
        <v>2</v>
      </c>
      <c r="AK1110" t="n">
        <v>9</v>
      </c>
      <c r="AL1110" t="n">
        <v>2</v>
      </c>
      <c r="AM1110" t="n">
        <v>13</v>
      </c>
      <c r="AN1110" t="n">
        <v>2</v>
      </c>
      <c r="AO1110" t="n">
        <v>4</v>
      </c>
      <c r="AP1110" t="n">
        <v>0</v>
      </c>
      <c r="AQ1110" t="n">
        <v>0</v>
      </c>
      <c r="AR1110" t="inlineStr">
        <is>
          <t>No</t>
        </is>
      </c>
      <c r="AS1110" t="inlineStr">
        <is>
          <t>Yes</t>
        </is>
      </c>
      <c r="AT1110">
        <f>HYPERLINK("http://catalog.hathitrust.org/Record/000761749","HathiTrust Record")</f>
        <v/>
      </c>
      <c r="AU1110">
        <f>HYPERLINK("https://creighton-primo.hosted.exlibrisgroup.com/primo-explore/search?tab=default_tab&amp;search_scope=EVERYTHING&amp;vid=01CRU&amp;lang=en_US&amp;offset=0&amp;query=any,contains,991002199679702656","Catalog Record")</f>
        <v/>
      </c>
      <c r="AV1110">
        <f>HYPERLINK("http://www.worldcat.org/oclc/283929","WorldCat Record")</f>
        <v/>
      </c>
      <c r="AW1110" t="inlineStr">
        <is>
          <t>14255704:spa</t>
        </is>
      </c>
      <c r="AX1110" t="inlineStr">
        <is>
          <t>283929</t>
        </is>
      </c>
      <c r="AY1110" t="inlineStr">
        <is>
          <t>991002199679702656</t>
        </is>
      </c>
      <c r="AZ1110" t="inlineStr">
        <is>
          <t>991002199679702656</t>
        </is>
      </c>
      <c r="BA1110" t="inlineStr">
        <is>
          <t>2265814630002656</t>
        </is>
      </c>
      <c r="BB1110" t="inlineStr">
        <is>
          <t>BOOK</t>
        </is>
      </c>
      <c r="BE1110" t="inlineStr">
        <is>
          <t>32285003364931</t>
        </is>
      </c>
      <c r="BF1110" t="inlineStr">
        <is>
          <t>893879609</t>
        </is>
      </c>
    </row>
    <row r="1111">
      <c r="A1111" t="inlineStr">
        <is>
          <t>No</t>
        </is>
      </c>
      <c r="B1111" t="inlineStr">
        <is>
          <t>CURAL</t>
        </is>
      </c>
      <c r="C1111" t="inlineStr">
        <is>
          <t>SHELVES</t>
        </is>
      </c>
      <c r="D1111" t="inlineStr">
        <is>
          <t>PQ8097.D617 Z59 1997</t>
        </is>
      </c>
      <c r="E1111" t="inlineStr">
        <is>
          <t>0                      PQ 8097000D  617                Z  59          1997</t>
        </is>
      </c>
      <c r="F1111" t="inlineStr">
        <is>
          <t>Donoso sin límites / Carlos Cerda.</t>
        </is>
      </c>
      <c r="H1111" t="inlineStr">
        <is>
          <t>No</t>
        </is>
      </c>
      <c r="I1111" t="inlineStr">
        <is>
          <t>1</t>
        </is>
      </c>
      <c r="J1111" t="inlineStr">
        <is>
          <t>No</t>
        </is>
      </c>
      <c r="K1111" t="inlineStr">
        <is>
          <t>No</t>
        </is>
      </c>
      <c r="L1111" t="inlineStr">
        <is>
          <t>0</t>
        </is>
      </c>
      <c r="M1111" t="inlineStr">
        <is>
          <t>Cerda, Carlos.</t>
        </is>
      </c>
      <c r="N1111" t="inlineStr">
        <is>
          <t>Santiago : LOM Ediciones, 1997.</t>
        </is>
      </c>
      <c r="O1111" t="inlineStr">
        <is>
          <t>1997</t>
        </is>
      </c>
      <c r="P1111" t="inlineStr">
        <is>
          <t>2. ed., ampliada.</t>
        </is>
      </c>
      <c r="Q1111" t="inlineStr">
        <is>
          <t>spa</t>
        </is>
      </c>
      <c r="R1111" t="inlineStr">
        <is>
          <t xml:space="preserve">cl </t>
        </is>
      </c>
      <c r="S1111" t="inlineStr">
        <is>
          <t>Colección Texto sobre texto</t>
        </is>
      </c>
      <c r="T1111" t="inlineStr">
        <is>
          <t xml:space="preserve">PQ </t>
        </is>
      </c>
      <c r="U1111" t="n">
        <v>1</v>
      </c>
      <c r="V1111" t="n">
        <v>1</v>
      </c>
      <c r="W1111" t="inlineStr">
        <is>
          <t>2003-04-02</t>
        </is>
      </c>
      <c r="X1111" t="inlineStr">
        <is>
          <t>2003-04-02</t>
        </is>
      </c>
      <c r="Y1111" t="inlineStr">
        <is>
          <t>2003-04-02</t>
        </is>
      </c>
      <c r="Z1111" t="inlineStr">
        <is>
          <t>2003-04-02</t>
        </is>
      </c>
      <c r="AA1111" t="n">
        <v>93</v>
      </c>
      <c r="AB1111" t="n">
        <v>71</v>
      </c>
      <c r="AC1111" t="n">
        <v>71</v>
      </c>
      <c r="AD1111" t="n">
        <v>1</v>
      </c>
      <c r="AE1111" t="n">
        <v>1</v>
      </c>
      <c r="AF1111" t="n">
        <v>2</v>
      </c>
      <c r="AG1111" t="n">
        <v>2</v>
      </c>
      <c r="AH1111" t="n">
        <v>0</v>
      </c>
      <c r="AI1111" t="n">
        <v>0</v>
      </c>
      <c r="AJ1111" t="n">
        <v>1</v>
      </c>
      <c r="AK1111" t="n">
        <v>1</v>
      </c>
      <c r="AL1111" t="n">
        <v>2</v>
      </c>
      <c r="AM1111" t="n">
        <v>2</v>
      </c>
      <c r="AN1111" t="n">
        <v>0</v>
      </c>
      <c r="AO1111" t="n">
        <v>0</v>
      </c>
      <c r="AP1111" t="n">
        <v>0</v>
      </c>
      <c r="AQ1111" t="n">
        <v>0</v>
      </c>
      <c r="AR1111" t="inlineStr">
        <is>
          <t>No</t>
        </is>
      </c>
      <c r="AS1111" t="inlineStr">
        <is>
          <t>No</t>
        </is>
      </c>
      <c r="AU1111">
        <f>HYPERLINK("https://creighton-primo.hosted.exlibrisgroup.com/primo-explore/search?tab=default_tab&amp;search_scope=EVERYTHING&amp;vid=01CRU&amp;lang=en_US&amp;offset=0&amp;query=any,contains,991004027909702656","Catalog Record")</f>
        <v/>
      </c>
      <c r="AV1111">
        <f>HYPERLINK("http://www.worldcat.org/oclc/37655032","WorldCat Record")</f>
        <v/>
      </c>
      <c r="AW1111" t="inlineStr">
        <is>
          <t>44925537:spa</t>
        </is>
      </c>
      <c r="AX1111" t="inlineStr">
        <is>
          <t>37655032</t>
        </is>
      </c>
      <c r="AY1111" t="inlineStr">
        <is>
          <t>991004027909702656</t>
        </is>
      </c>
      <c r="AZ1111" t="inlineStr">
        <is>
          <t>991004027909702656</t>
        </is>
      </c>
      <c r="BA1111" t="inlineStr">
        <is>
          <t>2256113150002656</t>
        </is>
      </c>
      <c r="BB1111" t="inlineStr">
        <is>
          <t>BOOK</t>
        </is>
      </c>
      <c r="BD1111" t="inlineStr">
        <is>
          <t>9789562820202</t>
        </is>
      </c>
      <c r="BE1111" t="inlineStr">
        <is>
          <t>32285004689187</t>
        </is>
      </c>
      <c r="BF1111" t="inlineStr">
        <is>
          <t>893234961</t>
        </is>
      </c>
    </row>
    <row r="1112">
      <c r="A1112" t="inlineStr">
        <is>
          <t>No</t>
        </is>
      </c>
      <c r="B1112" t="inlineStr">
        <is>
          <t>CURAL</t>
        </is>
      </c>
      <c r="C1112" t="inlineStr">
        <is>
          <t>SHELVES</t>
        </is>
      </c>
      <c r="D1112" t="inlineStr">
        <is>
          <t>PQ8097.D617 Z62 1997</t>
        </is>
      </c>
      <c r="E1112" t="inlineStr">
        <is>
          <t>0                      PQ 8097000D  617                Z  62          1997</t>
        </is>
      </c>
      <c r="F1112" t="inlineStr">
        <is>
          <t>José Donoso : voces de la memoria / Esther Edwards.</t>
        </is>
      </c>
      <c r="H1112" t="inlineStr">
        <is>
          <t>No</t>
        </is>
      </c>
      <c r="I1112" t="inlineStr">
        <is>
          <t>1</t>
        </is>
      </c>
      <c r="J1112" t="inlineStr">
        <is>
          <t>No</t>
        </is>
      </c>
      <c r="K1112" t="inlineStr">
        <is>
          <t>No</t>
        </is>
      </c>
      <c r="L1112" t="inlineStr">
        <is>
          <t>0</t>
        </is>
      </c>
      <c r="M1112" t="inlineStr">
        <is>
          <t>Edwards, Esther.</t>
        </is>
      </c>
      <c r="N1112" t="inlineStr">
        <is>
          <t>Providencia, Santiago [Chile] : Editorial Sudamericana, [1997]</t>
        </is>
      </c>
      <c r="O1112" t="inlineStr">
        <is>
          <t>1997</t>
        </is>
      </c>
      <c r="Q1112" t="inlineStr">
        <is>
          <t>spa</t>
        </is>
      </c>
      <c r="R1112" t="inlineStr">
        <is>
          <t xml:space="preserve">cl </t>
        </is>
      </c>
      <c r="S1112" t="inlineStr">
        <is>
          <t>[Colección Biografías y memorias]</t>
        </is>
      </c>
      <c r="T1112" t="inlineStr">
        <is>
          <t xml:space="preserve">PQ </t>
        </is>
      </c>
      <c r="U1112" t="n">
        <v>1</v>
      </c>
      <c r="V1112" t="n">
        <v>1</v>
      </c>
      <c r="W1112" t="inlineStr">
        <is>
          <t>2002-01-30</t>
        </is>
      </c>
      <c r="X1112" t="inlineStr">
        <is>
          <t>2002-01-30</t>
        </is>
      </c>
      <c r="Y1112" t="inlineStr">
        <is>
          <t>2002-01-30</t>
        </is>
      </c>
      <c r="Z1112" t="inlineStr">
        <is>
          <t>2002-01-30</t>
        </is>
      </c>
      <c r="AA1112" t="n">
        <v>82</v>
      </c>
      <c r="AB1112" t="n">
        <v>63</v>
      </c>
      <c r="AC1112" t="n">
        <v>70</v>
      </c>
      <c r="AD1112" t="n">
        <v>2</v>
      </c>
      <c r="AE1112" t="n">
        <v>2</v>
      </c>
      <c r="AF1112" t="n">
        <v>2</v>
      </c>
      <c r="AG1112" t="n">
        <v>2</v>
      </c>
      <c r="AH1112" t="n">
        <v>0</v>
      </c>
      <c r="AI1112" t="n">
        <v>0</v>
      </c>
      <c r="AJ1112" t="n">
        <v>1</v>
      </c>
      <c r="AK1112" t="n">
        <v>1</v>
      </c>
      <c r="AL1112" t="n">
        <v>1</v>
      </c>
      <c r="AM1112" t="n">
        <v>1</v>
      </c>
      <c r="AN1112" t="n">
        <v>1</v>
      </c>
      <c r="AO1112" t="n">
        <v>1</v>
      </c>
      <c r="AP1112" t="n">
        <v>0</v>
      </c>
      <c r="AQ1112" t="n">
        <v>0</v>
      </c>
      <c r="AR1112" t="inlineStr">
        <is>
          <t>No</t>
        </is>
      </c>
      <c r="AS1112" t="inlineStr">
        <is>
          <t>Yes</t>
        </is>
      </c>
      <c r="AT1112">
        <f>HYPERLINK("http://catalog.hathitrust.org/Record/003300263","HathiTrust Record")</f>
        <v/>
      </c>
      <c r="AU1112">
        <f>HYPERLINK("https://creighton-primo.hosted.exlibrisgroup.com/primo-explore/search?tab=default_tab&amp;search_scope=EVERYTHING&amp;vid=01CRU&amp;lang=en_US&amp;offset=0&amp;query=any,contains,991003721099702656","Catalog Record")</f>
        <v/>
      </c>
      <c r="AV1112">
        <f>HYPERLINK("http://www.worldcat.org/oclc/38574332","WorldCat Record")</f>
        <v/>
      </c>
      <c r="AW1112" t="inlineStr">
        <is>
          <t>306861454:spa</t>
        </is>
      </c>
      <c r="AX1112" t="inlineStr">
        <is>
          <t>38574332</t>
        </is>
      </c>
      <c r="AY1112" t="inlineStr">
        <is>
          <t>991003721099702656</t>
        </is>
      </c>
      <c r="AZ1112" t="inlineStr">
        <is>
          <t>991003721099702656</t>
        </is>
      </c>
      <c r="BA1112" t="inlineStr">
        <is>
          <t>2267973830002656</t>
        </is>
      </c>
      <c r="BB1112" t="inlineStr">
        <is>
          <t>BOOK</t>
        </is>
      </c>
      <c r="BE1112" t="inlineStr">
        <is>
          <t>32285004451562</t>
        </is>
      </c>
      <c r="BF1112" t="inlineStr">
        <is>
          <t>893342927</t>
        </is>
      </c>
    </row>
    <row r="1113">
      <c r="A1113" t="inlineStr">
        <is>
          <t>No</t>
        </is>
      </c>
      <c r="B1113" t="inlineStr">
        <is>
          <t>CURAL</t>
        </is>
      </c>
      <c r="C1113" t="inlineStr">
        <is>
          <t>SHELVES</t>
        </is>
      </c>
      <c r="D1113" t="inlineStr">
        <is>
          <t>PQ8097.D617 Z94 1981</t>
        </is>
      </c>
      <c r="E1113" t="inlineStr">
        <is>
          <t>0                      PQ 8097000D  617                Z  94          1981</t>
        </is>
      </c>
      <c r="F1113" t="inlineStr">
        <is>
          <t>The creative process in the works of José Donoso / edited by Guillermo I. Castillo-Feliú.</t>
        </is>
      </c>
      <c r="H1113" t="inlineStr">
        <is>
          <t>No</t>
        </is>
      </c>
      <c r="I1113" t="inlineStr">
        <is>
          <t>1</t>
        </is>
      </c>
      <c r="J1113" t="inlineStr">
        <is>
          <t>No</t>
        </is>
      </c>
      <c r="K1113" t="inlineStr">
        <is>
          <t>No</t>
        </is>
      </c>
      <c r="L1113" t="inlineStr">
        <is>
          <t>0</t>
        </is>
      </c>
      <c r="M1113" t="inlineStr">
        <is>
          <t>Winthrop Symposium on Major Modern Writers (4th : 1981 : Winthrop College)</t>
        </is>
      </c>
      <c r="N1113" t="inlineStr">
        <is>
          <t>[Rock Hill, S.C. : Winthrop College], c1982.</t>
        </is>
      </c>
      <c r="O1113" t="inlineStr">
        <is>
          <t>1982</t>
        </is>
      </c>
      <c r="Q1113" t="inlineStr">
        <is>
          <t>eng</t>
        </is>
      </c>
      <c r="R1113" t="inlineStr">
        <is>
          <t>scu</t>
        </is>
      </c>
      <c r="S1113" t="inlineStr">
        <is>
          <t>Winthrop studies on major modern writers</t>
        </is>
      </c>
      <c r="T1113" t="inlineStr">
        <is>
          <t xml:space="preserve">PQ </t>
        </is>
      </c>
      <c r="U1113" t="n">
        <v>1</v>
      </c>
      <c r="V1113" t="n">
        <v>1</v>
      </c>
      <c r="W1113" t="inlineStr">
        <is>
          <t>2003-04-16</t>
        </is>
      </c>
      <c r="X1113" t="inlineStr">
        <is>
          <t>2003-04-16</t>
        </is>
      </c>
      <c r="Y1113" t="inlineStr">
        <is>
          <t>2003-04-16</t>
        </is>
      </c>
      <c r="Z1113" t="inlineStr">
        <is>
          <t>2003-04-16</t>
        </is>
      </c>
      <c r="AA1113" t="n">
        <v>117</v>
      </c>
      <c r="AB1113" t="n">
        <v>83</v>
      </c>
      <c r="AC1113" t="n">
        <v>91</v>
      </c>
      <c r="AD1113" t="n">
        <v>2</v>
      </c>
      <c r="AE1113" t="n">
        <v>2</v>
      </c>
      <c r="AF1113" t="n">
        <v>3</v>
      </c>
      <c r="AG1113" t="n">
        <v>3</v>
      </c>
      <c r="AH1113" t="n">
        <v>0</v>
      </c>
      <c r="AI1113" t="n">
        <v>0</v>
      </c>
      <c r="AJ1113" t="n">
        <v>0</v>
      </c>
      <c r="AK1113" t="n">
        <v>0</v>
      </c>
      <c r="AL1113" t="n">
        <v>2</v>
      </c>
      <c r="AM1113" t="n">
        <v>2</v>
      </c>
      <c r="AN1113" t="n">
        <v>1</v>
      </c>
      <c r="AO1113" t="n">
        <v>1</v>
      </c>
      <c r="AP1113" t="n">
        <v>0</v>
      </c>
      <c r="AQ1113" t="n">
        <v>0</v>
      </c>
      <c r="AR1113" t="inlineStr">
        <is>
          <t>No</t>
        </is>
      </c>
      <c r="AS1113" t="inlineStr">
        <is>
          <t>Yes</t>
        </is>
      </c>
      <c r="AT1113">
        <f>HYPERLINK("http://catalog.hathitrust.org/Record/004531446","HathiTrust Record")</f>
        <v/>
      </c>
      <c r="AU1113">
        <f>HYPERLINK("https://creighton-primo.hosted.exlibrisgroup.com/primo-explore/search?tab=default_tab&amp;search_scope=EVERYTHING&amp;vid=01CRU&amp;lang=en_US&amp;offset=0&amp;query=any,contains,991004027789702656","Catalog Record")</f>
        <v/>
      </c>
      <c r="AV1113">
        <f>HYPERLINK("http://www.worldcat.org/oclc/9539104","WorldCat Record")</f>
        <v/>
      </c>
      <c r="AW1113" t="inlineStr">
        <is>
          <t>365519482:eng</t>
        </is>
      </c>
      <c r="AX1113" t="inlineStr">
        <is>
          <t>9539104</t>
        </is>
      </c>
      <c r="AY1113" t="inlineStr">
        <is>
          <t>991004027789702656</t>
        </is>
      </c>
      <c r="AZ1113" t="inlineStr">
        <is>
          <t>991004027789702656</t>
        </is>
      </c>
      <c r="BA1113" t="inlineStr">
        <is>
          <t>2263317540002656</t>
        </is>
      </c>
      <c r="BB1113" t="inlineStr">
        <is>
          <t>BOOK</t>
        </is>
      </c>
      <c r="BE1113" t="inlineStr">
        <is>
          <t>32285004742820</t>
        </is>
      </c>
      <c r="BF1113" t="inlineStr">
        <is>
          <t>893417138</t>
        </is>
      </c>
    </row>
    <row r="1114">
      <c r="A1114" t="inlineStr">
        <is>
          <t>No</t>
        </is>
      </c>
      <c r="B1114" t="inlineStr">
        <is>
          <t>CURAL</t>
        </is>
      </c>
      <c r="C1114" t="inlineStr">
        <is>
          <t>SHELVES</t>
        </is>
      </c>
      <c r="D1114" t="inlineStr">
        <is>
          <t>PQ8097.H8 A844 1997</t>
        </is>
      </c>
      <c r="E1114" t="inlineStr">
        <is>
          <t>0                      PQ 8097000H  8                  A  844         1997</t>
        </is>
      </c>
      <c r="F1114" t="inlineStr">
        <is>
          <t>Epistolario / Vicente Huidobro, María Luisa Fernández ; selección, prólogo y notas, Pedro Pablo Zegers y Thomas Harris.</t>
        </is>
      </c>
      <c r="H1114" t="inlineStr">
        <is>
          <t>No</t>
        </is>
      </c>
      <c r="I1114" t="inlineStr">
        <is>
          <t>1</t>
        </is>
      </c>
      <c r="J1114" t="inlineStr">
        <is>
          <t>No</t>
        </is>
      </c>
      <c r="K1114" t="inlineStr">
        <is>
          <t>No</t>
        </is>
      </c>
      <c r="L1114" t="inlineStr">
        <is>
          <t>0</t>
        </is>
      </c>
      <c r="M1114" t="inlineStr">
        <is>
          <t>Huidobro, Vicente, 1893-1948.</t>
        </is>
      </c>
      <c r="N1114" t="inlineStr">
        <is>
          <t>[Santiago de Chile?] : DIBAM : LOM Ediciones : Archivo del Escritor, c1997.</t>
        </is>
      </c>
      <c r="O1114" t="inlineStr">
        <is>
          <t>1997</t>
        </is>
      </c>
      <c r="Q1114" t="inlineStr">
        <is>
          <t>spa</t>
        </is>
      </c>
      <c r="R1114" t="inlineStr">
        <is>
          <t xml:space="preserve">cl </t>
        </is>
      </c>
      <c r="T1114" t="inlineStr">
        <is>
          <t xml:space="preserve">PQ </t>
        </is>
      </c>
      <c r="U1114" t="n">
        <v>1</v>
      </c>
      <c r="V1114" t="n">
        <v>1</v>
      </c>
      <c r="W1114" t="inlineStr">
        <is>
          <t>2003-04-02</t>
        </is>
      </c>
      <c r="X1114" t="inlineStr">
        <is>
          <t>2003-04-02</t>
        </is>
      </c>
      <c r="Y1114" t="inlineStr">
        <is>
          <t>2003-04-02</t>
        </is>
      </c>
      <c r="Z1114" t="inlineStr">
        <is>
          <t>2003-04-02</t>
        </is>
      </c>
      <c r="AA1114" t="n">
        <v>73</v>
      </c>
      <c r="AB1114" t="n">
        <v>66</v>
      </c>
      <c r="AC1114" t="n">
        <v>71</v>
      </c>
      <c r="AD1114" t="n">
        <v>1</v>
      </c>
      <c r="AE1114" t="n">
        <v>1</v>
      </c>
      <c r="AF1114" t="n">
        <v>3</v>
      </c>
      <c r="AG1114" t="n">
        <v>3</v>
      </c>
      <c r="AH1114" t="n">
        <v>0</v>
      </c>
      <c r="AI1114" t="n">
        <v>0</v>
      </c>
      <c r="AJ1114" t="n">
        <v>1</v>
      </c>
      <c r="AK1114" t="n">
        <v>1</v>
      </c>
      <c r="AL1114" t="n">
        <v>3</v>
      </c>
      <c r="AM1114" t="n">
        <v>3</v>
      </c>
      <c r="AN1114" t="n">
        <v>0</v>
      </c>
      <c r="AO1114" t="n">
        <v>0</v>
      </c>
      <c r="AP1114" t="n">
        <v>0</v>
      </c>
      <c r="AQ1114" t="n">
        <v>0</v>
      </c>
      <c r="AR1114" t="inlineStr">
        <is>
          <t>No</t>
        </is>
      </c>
      <c r="AS1114" t="inlineStr">
        <is>
          <t>Yes</t>
        </is>
      </c>
      <c r="AT1114">
        <f>HYPERLINK("http://catalog.hathitrust.org/Record/003979449","HathiTrust Record")</f>
        <v/>
      </c>
      <c r="AU1114">
        <f>HYPERLINK("https://creighton-primo.hosted.exlibrisgroup.com/primo-explore/search?tab=default_tab&amp;search_scope=EVERYTHING&amp;vid=01CRU&amp;lang=en_US&amp;offset=0&amp;query=any,contains,991004028259702656","Catalog Record")</f>
        <v/>
      </c>
      <c r="AV1114">
        <f>HYPERLINK("http://www.worldcat.org/oclc/38753150","WorldCat Record")</f>
        <v/>
      </c>
      <c r="AW1114" t="inlineStr">
        <is>
          <t>41365531:spa</t>
        </is>
      </c>
      <c r="AX1114" t="inlineStr">
        <is>
          <t>38753150</t>
        </is>
      </c>
      <c r="AY1114" t="inlineStr">
        <is>
          <t>991004028259702656</t>
        </is>
      </c>
      <c r="AZ1114" t="inlineStr">
        <is>
          <t>991004028259702656</t>
        </is>
      </c>
      <c r="BA1114" t="inlineStr">
        <is>
          <t>2269550950002656</t>
        </is>
      </c>
      <c r="BB1114" t="inlineStr">
        <is>
          <t>BOOK</t>
        </is>
      </c>
      <c r="BE1114" t="inlineStr">
        <is>
          <t>32285004689245</t>
        </is>
      </c>
      <c r="BF1114" t="inlineStr">
        <is>
          <t>893228821</t>
        </is>
      </c>
    </row>
    <row r="1115">
      <c r="A1115" t="inlineStr">
        <is>
          <t>No</t>
        </is>
      </c>
      <c r="B1115" t="inlineStr">
        <is>
          <t>CURAL</t>
        </is>
      </c>
      <c r="C1115" t="inlineStr">
        <is>
          <t>SHELVES</t>
        </is>
      </c>
      <c r="D1115" t="inlineStr">
        <is>
          <t>PQ8097.H8 Z55</t>
        </is>
      </c>
      <c r="E1115" t="inlineStr">
        <is>
          <t>0                      PQ 8097000H  8                  Z  55</t>
        </is>
      </c>
      <c r="F1115" t="inlineStr">
        <is>
          <t>Huidoboro o la vocación poética.</t>
        </is>
      </c>
      <c r="H1115" t="inlineStr">
        <is>
          <t>No</t>
        </is>
      </c>
      <c r="I1115" t="inlineStr">
        <is>
          <t>1</t>
        </is>
      </c>
      <c r="J1115" t="inlineStr">
        <is>
          <t>No</t>
        </is>
      </c>
      <c r="K1115" t="inlineStr">
        <is>
          <t>No</t>
        </is>
      </c>
      <c r="L1115" t="inlineStr">
        <is>
          <t>0</t>
        </is>
      </c>
      <c r="M1115" t="inlineStr">
        <is>
          <t>Bary, David.</t>
        </is>
      </c>
      <c r="N1115" t="inlineStr">
        <is>
          <t>[Granada] Universidad de Granada, Consejo Superior de Investigaciones Científicas, 1963.</t>
        </is>
      </c>
      <c r="O1115" t="inlineStr">
        <is>
          <t>1963</t>
        </is>
      </c>
      <c r="Q1115" t="inlineStr">
        <is>
          <t>spa</t>
        </is>
      </c>
      <c r="R1115" t="inlineStr">
        <is>
          <t xml:space="preserve">sp </t>
        </is>
      </c>
      <c r="S1115" t="inlineStr">
        <is>
          <t>Colección filológica ; 21</t>
        </is>
      </c>
      <c r="T1115" t="inlineStr">
        <is>
          <t xml:space="preserve">PQ </t>
        </is>
      </c>
      <c r="U1115" t="n">
        <v>4</v>
      </c>
      <c r="V1115" t="n">
        <v>4</v>
      </c>
      <c r="W1115" t="inlineStr">
        <is>
          <t>1998-03-25</t>
        </is>
      </c>
      <c r="X1115" t="inlineStr">
        <is>
          <t>1998-03-25</t>
        </is>
      </c>
      <c r="Y1115" t="inlineStr">
        <is>
          <t>1997-08-08</t>
        </is>
      </c>
      <c r="Z1115" t="inlineStr">
        <is>
          <t>1997-08-08</t>
        </is>
      </c>
      <c r="AA1115" t="n">
        <v>104</v>
      </c>
      <c r="AB1115" t="n">
        <v>81</v>
      </c>
      <c r="AC1115" t="n">
        <v>88</v>
      </c>
      <c r="AD1115" t="n">
        <v>2</v>
      </c>
      <c r="AE1115" t="n">
        <v>2</v>
      </c>
      <c r="AF1115" t="n">
        <v>4</v>
      </c>
      <c r="AG1115" t="n">
        <v>4</v>
      </c>
      <c r="AH1115" t="n">
        <v>1</v>
      </c>
      <c r="AI1115" t="n">
        <v>1</v>
      </c>
      <c r="AJ1115" t="n">
        <v>1</v>
      </c>
      <c r="AK1115" t="n">
        <v>1</v>
      </c>
      <c r="AL1115" t="n">
        <v>1</v>
      </c>
      <c r="AM1115" t="n">
        <v>1</v>
      </c>
      <c r="AN1115" t="n">
        <v>1</v>
      </c>
      <c r="AO1115" t="n">
        <v>1</v>
      </c>
      <c r="AP1115" t="n">
        <v>0</v>
      </c>
      <c r="AQ1115" t="n">
        <v>0</v>
      </c>
      <c r="AR1115" t="inlineStr">
        <is>
          <t>No</t>
        </is>
      </c>
      <c r="AS1115" t="inlineStr">
        <is>
          <t>Yes</t>
        </is>
      </c>
      <c r="AT1115">
        <f>HYPERLINK("http://catalog.hathitrust.org/Record/001051943","HathiTrust Record")</f>
        <v/>
      </c>
      <c r="AU1115">
        <f>HYPERLINK("https://creighton-primo.hosted.exlibrisgroup.com/primo-explore/search?tab=default_tab&amp;search_scope=EVERYTHING&amp;vid=01CRU&amp;lang=en_US&amp;offset=0&amp;query=any,contains,991004166419702656","Catalog Record")</f>
        <v/>
      </c>
      <c r="AV1115">
        <f>HYPERLINK("http://www.worldcat.org/oclc/2567892","WorldCat Record")</f>
        <v/>
      </c>
      <c r="AW1115" t="inlineStr">
        <is>
          <t>23026749:spa</t>
        </is>
      </c>
      <c r="AX1115" t="inlineStr">
        <is>
          <t>2567892</t>
        </is>
      </c>
      <c r="AY1115" t="inlineStr">
        <is>
          <t>991004166419702656</t>
        </is>
      </c>
      <c r="AZ1115" t="inlineStr">
        <is>
          <t>991004166419702656</t>
        </is>
      </c>
      <c r="BA1115" t="inlineStr">
        <is>
          <t>2255778150002656</t>
        </is>
      </c>
      <c r="BB1115" t="inlineStr">
        <is>
          <t>BOOK</t>
        </is>
      </c>
      <c r="BE1115" t="inlineStr">
        <is>
          <t>32285003061669</t>
        </is>
      </c>
      <c r="BF1115" t="inlineStr">
        <is>
          <t>893806743</t>
        </is>
      </c>
    </row>
    <row r="1116">
      <c r="A1116" t="inlineStr">
        <is>
          <t>No</t>
        </is>
      </c>
      <c r="B1116" t="inlineStr">
        <is>
          <t>CURAL</t>
        </is>
      </c>
      <c r="C1116" t="inlineStr">
        <is>
          <t>SHELVES</t>
        </is>
      </c>
      <c r="D1116" t="inlineStr">
        <is>
          <t>PQ8097.H8 Z57 1993</t>
        </is>
      </c>
      <c r="E1116" t="inlineStr">
        <is>
          <t>0                      PQ 8097000H  8                  Z  57          1993</t>
        </is>
      </c>
      <c r="F1116" t="inlineStr">
        <is>
          <t>Vicente Huidobro y el cubismo / Susana Benko.</t>
        </is>
      </c>
      <c r="H1116" t="inlineStr">
        <is>
          <t>No</t>
        </is>
      </c>
      <c r="I1116" t="inlineStr">
        <is>
          <t>1</t>
        </is>
      </c>
      <c r="J1116" t="inlineStr">
        <is>
          <t>No</t>
        </is>
      </c>
      <c r="K1116" t="inlineStr">
        <is>
          <t>Yes</t>
        </is>
      </c>
      <c r="L1116" t="inlineStr">
        <is>
          <t>0</t>
        </is>
      </c>
      <c r="M1116" t="inlineStr">
        <is>
          <t>Benko, Susana.</t>
        </is>
      </c>
      <c r="N1116" t="inlineStr">
        <is>
          <t>Caracas, Venezuela : Monte Avila Editores Latinoamericana : Fondo de Cultura Económica : Banco Provincial, 1993.</t>
        </is>
      </c>
      <c r="O1116" t="inlineStr">
        <is>
          <t>1993</t>
        </is>
      </c>
      <c r="P1116" t="inlineStr">
        <is>
          <t>1a ed.</t>
        </is>
      </c>
      <c r="Q1116" t="inlineStr">
        <is>
          <t>spa</t>
        </is>
      </c>
      <c r="R1116" t="inlineStr">
        <is>
          <t xml:space="preserve">ve </t>
        </is>
      </c>
      <c r="S1116" t="inlineStr">
        <is>
          <t>Estudios</t>
        </is>
      </c>
      <c r="T1116" t="inlineStr">
        <is>
          <t xml:space="preserve">PQ </t>
        </is>
      </c>
      <c r="U1116" t="n">
        <v>1</v>
      </c>
      <c r="V1116" t="n">
        <v>1</v>
      </c>
      <c r="W1116" t="inlineStr">
        <is>
          <t>2002-06-10</t>
        </is>
      </c>
      <c r="X1116" t="inlineStr">
        <is>
          <t>2002-06-10</t>
        </is>
      </c>
      <c r="Y1116" t="inlineStr">
        <is>
          <t>2002-06-10</t>
        </is>
      </c>
      <c r="Z1116" t="inlineStr">
        <is>
          <t>2002-06-10</t>
        </is>
      </c>
      <c r="AA1116" t="n">
        <v>78</v>
      </c>
      <c r="AB1116" t="n">
        <v>62</v>
      </c>
      <c r="AC1116" t="n">
        <v>138</v>
      </c>
      <c r="AD1116" t="n">
        <v>1</v>
      </c>
      <c r="AE1116" t="n">
        <v>1</v>
      </c>
      <c r="AF1116" t="n">
        <v>0</v>
      </c>
      <c r="AG1116" t="n">
        <v>2</v>
      </c>
      <c r="AH1116" t="n">
        <v>0</v>
      </c>
      <c r="AI1116" t="n">
        <v>1</v>
      </c>
      <c r="AJ1116" t="n">
        <v>0</v>
      </c>
      <c r="AK1116" t="n">
        <v>1</v>
      </c>
      <c r="AL1116" t="n">
        <v>0</v>
      </c>
      <c r="AM1116" t="n">
        <v>0</v>
      </c>
      <c r="AN1116" t="n">
        <v>0</v>
      </c>
      <c r="AO1116" t="n">
        <v>0</v>
      </c>
      <c r="AP1116" t="n">
        <v>0</v>
      </c>
      <c r="AQ1116" t="n">
        <v>0</v>
      </c>
      <c r="AR1116" t="inlineStr">
        <is>
          <t>No</t>
        </is>
      </c>
      <c r="AS1116" t="inlineStr">
        <is>
          <t>No</t>
        </is>
      </c>
      <c r="AU1116">
        <f>HYPERLINK("https://creighton-primo.hosted.exlibrisgroup.com/primo-explore/search?tab=default_tab&amp;search_scope=EVERYTHING&amp;vid=01CRU&amp;lang=en_US&amp;offset=0&amp;query=any,contains,991003816709702656","Catalog Record")</f>
        <v/>
      </c>
      <c r="AV1116">
        <f>HYPERLINK("http://www.worldcat.org/oclc/30676056","WorldCat Record")</f>
        <v/>
      </c>
      <c r="AW1116" t="inlineStr">
        <is>
          <t>32896649:spa</t>
        </is>
      </c>
      <c r="AX1116" t="inlineStr">
        <is>
          <t>30676056</t>
        </is>
      </c>
      <c r="AY1116" t="inlineStr">
        <is>
          <t>991003816709702656</t>
        </is>
      </c>
      <c r="AZ1116" t="inlineStr">
        <is>
          <t>991003816709702656</t>
        </is>
      </c>
      <c r="BA1116" t="inlineStr">
        <is>
          <t>2264379970002656</t>
        </is>
      </c>
      <c r="BB1116" t="inlineStr">
        <is>
          <t>BOOK</t>
        </is>
      </c>
      <c r="BD1116" t="inlineStr">
        <is>
          <t>9789800104613</t>
        </is>
      </c>
      <c r="BE1116" t="inlineStr">
        <is>
          <t>32285004493655</t>
        </is>
      </c>
      <c r="BF1116" t="inlineStr">
        <is>
          <t>893441784</t>
        </is>
      </c>
    </row>
    <row r="1117">
      <c r="A1117" t="inlineStr">
        <is>
          <t>No</t>
        </is>
      </c>
      <c r="B1117" t="inlineStr">
        <is>
          <t>CURAL</t>
        </is>
      </c>
      <c r="C1117" t="inlineStr">
        <is>
          <t>SHELVES</t>
        </is>
      </c>
      <c r="D1117" t="inlineStr">
        <is>
          <t>PQ8097.H8 Z57 1993b</t>
        </is>
      </c>
      <c r="E1117" t="inlineStr">
        <is>
          <t>0                      PQ 8097000H  8                  Z  57          1993b</t>
        </is>
      </c>
      <c r="F1117" t="inlineStr">
        <is>
          <t>Vicente Huidobro y el cubismo / Susana Benko.</t>
        </is>
      </c>
      <c r="H1117" t="inlineStr">
        <is>
          <t>No</t>
        </is>
      </c>
      <c r="I1117" t="inlineStr">
        <is>
          <t>1</t>
        </is>
      </c>
      <c r="J1117" t="inlineStr">
        <is>
          <t>No</t>
        </is>
      </c>
      <c r="K1117" t="inlineStr">
        <is>
          <t>Yes</t>
        </is>
      </c>
      <c r="L1117" t="inlineStr">
        <is>
          <t>0</t>
        </is>
      </c>
      <c r="M1117" t="inlineStr">
        <is>
          <t>Benko, Susana.</t>
        </is>
      </c>
      <c r="N1117" t="inlineStr">
        <is>
          <t>Caracas, Venezuela : Banco Provincial : Monte Avila Editores Latinoamericana ; Mexico, D.F. : Fondo de Cultura Económica, 1993.</t>
        </is>
      </c>
      <c r="O1117" t="inlineStr">
        <is>
          <t>1993</t>
        </is>
      </c>
      <c r="P1117" t="inlineStr">
        <is>
          <t>1. ed.</t>
        </is>
      </c>
      <c r="Q1117" t="inlineStr">
        <is>
          <t>spa</t>
        </is>
      </c>
      <c r="R1117" t="inlineStr">
        <is>
          <t xml:space="preserve">ve </t>
        </is>
      </c>
      <c r="S1117" t="inlineStr">
        <is>
          <t>Colección Tierra firme</t>
        </is>
      </c>
      <c r="T1117" t="inlineStr">
        <is>
          <t xml:space="preserve">PQ </t>
        </is>
      </c>
      <c r="U1117" t="n">
        <v>3</v>
      </c>
      <c r="V1117" t="n">
        <v>3</v>
      </c>
      <c r="W1117" t="inlineStr">
        <is>
          <t>1998-03-25</t>
        </is>
      </c>
      <c r="X1117" t="inlineStr">
        <is>
          <t>1998-03-25</t>
        </is>
      </c>
      <c r="Y1117" t="inlineStr">
        <is>
          <t>1997-05-19</t>
        </is>
      </c>
      <c r="Z1117" t="inlineStr">
        <is>
          <t>1997-05-19</t>
        </is>
      </c>
      <c r="AA1117" t="n">
        <v>35</v>
      </c>
      <c r="AB1117" t="n">
        <v>24</v>
      </c>
      <c r="AC1117" t="n">
        <v>138</v>
      </c>
      <c r="AD1117" t="n">
        <v>1</v>
      </c>
      <c r="AE1117" t="n">
        <v>1</v>
      </c>
      <c r="AF1117" t="n">
        <v>1</v>
      </c>
      <c r="AG1117" t="n">
        <v>2</v>
      </c>
      <c r="AH1117" t="n">
        <v>1</v>
      </c>
      <c r="AI1117" t="n">
        <v>1</v>
      </c>
      <c r="AJ1117" t="n">
        <v>0</v>
      </c>
      <c r="AK1117" t="n">
        <v>1</v>
      </c>
      <c r="AL1117" t="n">
        <v>0</v>
      </c>
      <c r="AM1117" t="n">
        <v>0</v>
      </c>
      <c r="AN1117" t="n">
        <v>0</v>
      </c>
      <c r="AO1117" t="n">
        <v>0</v>
      </c>
      <c r="AP1117" t="n">
        <v>0</v>
      </c>
      <c r="AQ1117" t="n">
        <v>0</v>
      </c>
      <c r="AR1117" t="inlineStr">
        <is>
          <t>No</t>
        </is>
      </c>
      <c r="AS1117" t="inlineStr">
        <is>
          <t>No</t>
        </is>
      </c>
      <c r="AU1117">
        <f>HYPERLINK("https://creighton-primo.hosted.exlibrisgroup.com/primo-explore/search?tab=default_tab&amp;search_scope=EVERYTHING&amp;vid=01CRU&amp;lang=en_US&amp;offset=0&amp;query=any,contains,991002575529702656","Catalog Record")</f>
        <v/>
      </c>
      <c r="AV1117">
        <f>HYPERLINK("http://www.worldcat.org/oclc/33502574","WorldCat Record")</f>
        <v/>
      </c>
      <c r="AW1117" t="inlineStr">
        <is>
          <t>32896649:spa</t>
        </is>
      </c>
      <c r="AX1117" t="inlineStr">
        <is>
          <t>33502574</t>
        </is>
      </c>
      <c r="AY1117" t="inlineStr">
        <is>
          <t>991002575529702656</t>
        </is>
      </c>
      <c r="AZ1117" t="inlineStr">
        <is>
          <t>991002575529702656</t>
        </is>
      </c>
      <c r="BA1117" t="inlineStr">
        <is>
          <t>2255239140002656</t>
        </is>
      </c>
      <c r="BB1117" t="inlineStr">
        <is>
          <t>BOOK</t>
        </is>
      </c>
      <c r="BD1117" t="inlineStr">
        <is>
          <t>9789681641764</t>
        </is>
      </c>
      <c r="BE1117" t="inlineStr">
        <is>
          <t>32285002609518</t>
        </is>
      </c>
      <c r="BF1117" t="inlineStr">
        <is>
          <t>893440287</t>
        </is>
      </c>
    </row>
    <row r="1118">
      <c r="A1118" t="inlineStr">
        <is>
          <t>No</t>
        </is>
      </c>
      <c r="B1118" t="inlineStr">
        <is>
          <t>CURAL</t>
        </is>
      </c>
      <c r="C1118" t="inlineStr">
        <is>
          <t>SHELVES</t>
        </is>
      </c>
      <c r="D1118" t="inlineStr">
        <is>
          <t>PQ8097.H8 Z58 1983</t>
        </is>
      </c>
      <c r="E1118" t="inlineStr">
        <is>
          <t>0                      PQ 8097000H  8                  Z  58          1983</t>
        </is>
      </c>
      <c r="F1118" t="inlineStr">
        <is>
          <t>El creacionismo de Vicente Huidobro en sus relaciones con la estética cubista / Estrella Busto Ogden.</t>
        </is>
      </c>
      <c r="H1118" t="inlineStr">
        <is>
          <t>No</t>
        </is>
      </c>
      <c r="I1118" t="inlineStr">
        <is>
          <t>1</t>
        </is>
      </c>
      <c r="J1118" t="inlineStr">
        <is>
          <t>No</t>
        </is>
      </c>
      <c r="K1118" t="inlineStr">
        <is>
          <t>No</t>
        </is>
      </c>
      <c r="L1118" t="inlineStr">
        <is>
          <t>0</t>
        </is>
      </c>
      <c r="M1118" t="inlineStr">
        <is>
          <t>Busto Ogden, Estrella.</t>
        </is>
      </c>
      <c r="N1118" t="inlineStr">
        <is>
          <t>Madrid : Playor, 1983.</t>
        </is>
      </c>
      <c r="O1118" t="inlineStr">
        <is>
          <t>1983</t>
        </is>
      </c>
      <c r="Q1118" t="inlineStr">
        <is>
          <t>spa</t>
        </is>
      </c>
      <c r="R1118" t="inlineStr">
        <is>
          <t xml:space="preserve">sp </t>
        </is>
      </c>
      <c r="S1118" t="inlineStr">
        <is>
          <t>Colección Nova scholar</t>
        </is>
      </c>
      <c r="T1118" t="inlineStr">
        <is>
          <t xml:space="preserve">PQ </t>
        </is>
      </c>
      <c r="U1118" t="n">
        <v>4</v>
      </c>
      <c r="V1118" t="n">
        <v>4</v>
      </c>
      <c r="W1118" t="inlineStr">
        <is>
          <t>1998-03-25</t>
        </is>
      </c>
      <c r="X1118" t="inlineStr">
        <is>
          <t>1998-03-25</t>
        </is>
      </c>
      <c r="Y1118" t="inlineStr">
        <is>
          <t>1996-06-19</t>
        </is>
      </c>
      <c r="Z1118" t="inlineStr">
        <is>
          <t>1996-06-19</t>
        </is>
      </c>
      <c r="AA1118" t="n">
        <v>163</v>
      </c>
      <c r="AB1118" t="n">
        <v>120</v>
      </c>
      <c r="AC1118" t="n">
        <v>126</v>
      </c>
      <c r="AD1118" t="n">
        <v>2</v>
      </c>
      <c r="AE1118" t="n">
        <v>2</v>
      </c>
      <c r="AF1118" t="n">
        <v>8</v>
      </c>
      <c r="AG1118" t="n">
        <v>8</v>
      </c>
      <c r="AH1118" t="n">
        <v>1</v>
      </c>
      <c r="AI1118" t="n">
        <v>1</v>
      </c>
      <c r="AJ1118" t="n">
        <v>2</v>
      </c>
      <c r="AK1118" t="n">
        <v>2</v>
      </c>
      <c r="AL1118" t="n">
        <v>5</v>
      </c>
      <c r="AM1118" t="n">
        <v>5</v>
      </c>
      <c r="AN1118" t="n">
        <v>1</v>
      </c>
      <c r="AO1118" t="n">
        <v>1</v>
      </c>
      <c r="AP1118" t="n">
        <v>0</v>
      </c>
      <c r="AQ1118" t="n">
        <v>0</v>
      </c>
      <c r="AR1118" t="inlineStr">
        <is>
          <t>No</t>
        </is>
      </c>
      <c r="AS1118" t="inlineStr">
        <is>
          <t>No</t>
        </is>
      </c>
      <c r="AU1118">
        <f>HYPERLINK("https://creighton-primo.hosted.exlibrisgroup.com/primo-explore/search?tab=default_tab&amp;search_scope=EVERYTHING&amp;vid=01CRU&amp;lang=en_US&amp;offset=0&amp;query=any,contains,991000467899702656","Catalog Record")</f>
        <v/>
      </c>
      <c r="AV1118">
        <f>HYPERLINK("http://www.worldcat.org/oclc/10989332","WorldCat Record")</f>
        <v/>
      </c>
      <c r="AW1118" t="inlineStr">
        <is>
          <t>355991417:spa</t>
        </is>
      </c>
      <c r="AX1118" t="inlineStr">
        <is>
          <t>10989332</t>
        </is>
      </c>
      <c r="AY1118" t="inlineStr">
        <is>
          <t>991000467899702656</t>
        </is>
      </c>
      <c r="AZ1118" t="inlineStr">
        <is>
          <t>991000467899702656</t>
        </is>
      </c>
      <c r="BA1118" t="inlineStr">
        <is>
          <t>2257742680002656</t>
        </is>
      </c>
      <c r="BB1118" t="inlineStr">
        <is>
          <t>BOOK</t>
        </is>
      </c>
      <c r="BD1118" t="inlineStr">
        <is>
          <t>9788435903219</t>
        </is>
      </c>
      <c r="BE1118" t="inlineStr">
        <is>
          <t>32285002170636</t>
        </is>
      </c>
      <c r="BF1118" t="inlineStr">
        <is>
          <t>893502505</t>
        </is>
      </c>
    </row>
    <row r="1119">
      <c r="A1119" t="inlineStr">
        <is>
          <t>No</t>
        </is>
      </c>
      <c r="B1119" t="inlineStr">
        <is>
          <t>CURAL</t>
        </is>
      </c>
      <c r="C1119" t="inlineStr">
        <is>
          <t>SHELVES</t>
        </is>
      </c>
      <c r="D1119" t="inlineStr">
        <is>
          <t>PQ8097.H8 Z59 1980</t>
        </is>
      </c>
      <c r="E1119" t="inlineStr">
        <is>
          <t>0                      PQ 8097000H  8                  Z  59          1980</t>
        </is>
      </c>
      <c r="F1119" t="inlineStr">
        <is>
          <t>Poesía y poética de Vicente Huidobro / Mireya Camurati.</t>
        </is>
      </c>
      <c r="H1119" t="inlineStr">
        <is>
          <t>No</t>
        </is>
      </c>
      <c r="I1119" t="inlineStr">
        <is>
          <t>1</t>
        </is>
      </c>
      <c r="J1119" t="inlineStr">
        <is>
          <t>No</t>
        </is>
      </c>
      <c r="K1119" t="inlineStr">
        <is>
          <t>No</t>
        </is>
      </c>
      <c r="L1119" t="inlineStr">
        <is>
          <t>0</t>
        </is>
      </c>
      <c r="M1119" t="inlineStr">
        <is>
          <t>Camurati, Mireya.</t>
        </is>
      </c>
      <c r="N1119" t="inlineStr">
        <is>
          <t>Buenos Aires : F. García Cambeiro, c1980.</t>
        </is>
      </c>
      <c r="O1119" t="inlineStr">
        <is>
          <t>1980</t>
        </is>
      </c>
      <c r="Q1119" t="inlineStr">
        <is>
          <t>spa</t>
        </is>
      </c>
      <c r="R1119" t="inlineStr">
        <is>
          <t xml:space="preserve">ag </t>
        </is>
      </c>
      <c r="S1119" t="inlineStr">
        <is>
          <t>Colección Estudios latinoamericanos ; 27</t>
        </is>
      </c>
      <c r="T1119" t="inlineStr">
        <is>
          <t xml:space="preserve">PQ </t>
        </is>
      </c>
      <c r="U1119" t="n">
        <v>4</v>
      </c>
      <c r="V1119" t="n">
        <v>4</v>
      </c>
      <c r="W1119" t="inlineStr">
        <is>
          <t>1998-03-25</t>
        </is>
      </c>
      <c r="X1119" t="inlineStr">
        <is>
          <t>1998-03-25</t>
        </is>
      </c>
      <c r="Y1119" t="inlineStr">
        <is>
          <t>1996-06-19</t>
        </is>
      </c>
      <c r="Z1119" t="inlineStr">
        <is>
          <t>1996-06-19</t>
        </is>
      </c>
      <c r="AA1119" t="n">
        <v>205</v>
      </c>
      <c r="AB1119" t="n">
        <v>156</v>
      </c>
      <c r="AC1119" t="n">
        <v>164</v>
      </c>
      <c r="AD1119" t="n">
        <v>1</v>
      </c>
      <c r="AE1119" t="n">
        <v>1</v>
      </c>
      <c r="AF1119" t="n">
        <v>8</v>
      </c>
      <c r="AG1119" t="n">
        <v>8</v>
      </c>
      <c r="AH1119" t="n">
        <v>2</v>
      </c>
      <c r="AI1119" t="n">
        <v>2</v>
      </c>
      <c r="AJ1119" t="n">
        <v>4</v>
      </c>
      <c r="AK1119" t="n">
        <v>4</v>
      </c>
      <c r="AL1119" t="n">
        <v>5</v>
      </c>
      <c r="AM1119" t="n">
        <v>5</v>
      </c>
      <c r="AN1119" t="n">
        <v>0</v>
      </c>
      <c r="AO1119" t="n">
        <v>0</v>
      </c>
      <c r="AP1119" t="n">
        <v>0</v>
      </c>
      <c r="AQ1119" t="n">
        <v>0</v>
      </c>
      <c r="AR1119" t="inlineStr">
        <is>
          <t>No</t>
        </is>
      </c>
      <c r="AS1119" t="inlineStr">
        <is>
          <t>Yes</t>
        </is>
      </c>
      <c r="AT1119">
        <f>HYPERLINK("http://catalog.hathitrust.org/Record/000285515","HathiTrust Record")</f>
        <v/>
      </c>
      <c r="AU1119">
        <f>HYPERLINK("https://creighton-primo.hosted.exlibrisgroup.com/primo-explore/search?tab=default_tab&amp;search_scope=EVERYTHING&amp;vid=01CRU&amp;lang=en_US&amp;offset=0&amp;query=any,contains,991005041389702656","Catalog Record")</f>
        <v/>
      </c>
      <c r="AV1119">
        <f>HYPERLINK("http://www.worldcat.org/oclc/6795622","WorldCat Record")</f>
        <v/>
      </c>
      <c r="AW1119" t="inlineStr">
        <is>
          <t>5090497215:spa</t>
        </is>
      </c>
      <c r="AX1119" t="inlineStr">
        <is>
          <t>6795622</t>
        </is>
      </c>
      <c r="AY1119" t="inlineStr">
        <is>
          <t>991005041389702656</t>
        </is>
      </c>
      <c r="AZ1119" t="inlineStr">
        <is>
          <t>991005041389702656</t>
        </is>
      </c>
      <c r="BA1119" t="inlineStr">
        <is>
          <t>2270117810002656</t>
        </is>
      </c>
      <c r="BB1119" t="inlineStr">
        <is>
          <t>BOOK</t>
        </is>
      </c>
      <c r="BE1119" t="inlineStr">
        <is>
          <t>32285002170511</t>
        </is>
      </c>
      <c r="BF1119" t="inlineStr">
        <is>
          <t>893260463</t>
        </is>
      </c>
    </row>
    <row r="1120">
      <c r="A1120" t="inlineStr">
        <is>
          <t>No</t>
        </is>
      </c>
      <c r="B1120" t="inlineStr">
        <is>
          <t>CURAL</t>
        </is>
      </c>
      <c r="C1120" t="inlineStr">
        <is>
          <t>SHELVES</t>
        </is>
      </c>
      <c r="D1120" t="inlineStr">
        <is>
          <t>PQ8097.L5 S82 1994</t>
        </is>
      </c>
      <c r="E1120" t="inlineStr">
        <is>
          <t>0                      PQ 8097000L  5                  S  82          1994</t>
        </is>
      </c>
      <c r="F1120" t="inlineStr">
        <is>
          <t>Sub-terra / Baldomero Lillo ; prólogo de Alfonso Calderón ; comentario de Hernán Poblete Varas.</t>
        </is>
      </c>
      <c r="H1120" t="inlineStr">
        <is>
          <t>No</t>
        </is>
      </c>
      <c r="I1120" t="inlineStr">
        <is>
          <t>1</t>
        </is>
      </c>
      <c r="J1120" t="inlineStr">
        <is>
          <t>No</t>
        </is>
      </c>
      <c r="K1120" t="inlineStr">
        <is>
          <t>Yes</t>
        </is>
      </c>
      <c r="L1120" t="inlineStr">
        <is>
          <t>0</t>
        </is>
      </c>
      <c r="M1120" t="inlineStr">
        <is>
          <t>Lillo, Baldomero, 1867-1923.</t>
        </is>
      </c>
      <c r="N1120" t="inlineStr">
        <is>
          <t>Santiago de Chile : Editorial Andrés Bello, 1994.</t>
        </is>
      </c>
      <c r="O1120" t="inlineStr">
        <is>
          <t>1994</t>
        </is>
      </c>
      <c r="P1120" t="inlineStr">
        <is>
          <t>8. ed.</t>
        </is>
      </c>
      <c r="Q1120" t="inlineStr">
        <is>
          <t>spa</t>
        </is>
      </c>
      <c r="R1120" t="inlineStr">
        <is>
          <t xml:space="preserve">cl </t>
        </is>
      </c>
      <c r="S1120" t="inlineStr">
        <is>
          <t>Biblioteca Andrés Bello ; 19</t>
        </is>
      </c>
      <c r="T1120" t="inlineStr">
        <is>
          <t xml:space="preserve">PQ </t>
        </is>
      </c>
      <c r="U1120" t="n">
        <v>2</v>
      </c>
      <c r="V1120" t="n">
        <v>2</v>
      </c>
      <c r="W1120" t="inlineStr">
        <is>
          <t>1996-11-21</t>
        </is>
      </c>
      <c r="X1120" t="inlineStr">
        <is>
          <t>1996-11-21</t>
        </is>
      </c>
      <c r="Y1120" t="inlineStr">
        <is>
          <t>1996-06-24</t>
        </is>
      </c>
      <c r="Z1120" t="inlineStr">
        <is>
          <t>1996-06-24</t>
        </is>
      </c>
      <c r="AA1120" t="n">
        <v>6</v>
      </c>
      <c r="AB1120" t="n">
        <v>5</v>
      </c>
      <c r="AC1120" t="n">
        <v>311</v>
      </c>
      <c r="AD1120" t="n">
        <v>1</v>
      </c>
      <c r="AE1120" t="n">
        <v>2</v>
      </c>
      <c r="AF1120" t="n">
        <v>0</v>
      </c>
      <c r="AG1120" t="n">
        <v>13</v>
      </c>
      <c r="AH1120" t="n">
        <v>0</v>
      </c>
      <c r="AI1120" t="n">
        <v>4</v>
      </c>
      <c r="AJ1120" t="n">
        <v>0</v>
      </c>
      <c r="AK1120" t="n">
        <v>3</v>
      </c>
      <c r="AL1120" t="n">
        <v>0</v>
      </c>
      <c r="AM1120" t="n">
        <v>8</v>
      </c>
      <c r="AN1120" t="n">
        <v>0</v>
      </c>
      <c r="AO1120" t="n">
        <v>1</v>
      </c>
      <c r="AP1120" t="n">
        <v>0</v>
      </c>
      <c r="AQ1120" t="n">
        <v>0</v>
      </c>
      <c r="AR1120" t="inlineStr">
        <is>
          <t>No</t>
        </is>
      </c>
      <c r="AS1120" t="inlineStr">
        <is>
          <t>No</t>
        </is>
      </c>
      <c r="AU1120">
        <f>HYPERLINK("https://creighton-primo.hosted.exlibrisgroup.com/primo-explore/search?tab=default_tab&amp;search_scope=EVERYTHING&amp;vid=01CRU&amp;lang=en_US&amp;offset=0&amp;query=any,contains,991002310209702656","Catalog Record")</f>
        <v/>
      </c>
      <c r="AV1120">
        <f>HYPERLINK("http://www.worldcat.org/oclc/29972926","WorldCat Record")</f>
        <v/>
      </c>
      <c r="AW1120" t="inlineStr">
        <is>
          <t>263582:spa</t>
        </is>
      </c>
      <c r="AX1120" t="inlineStr">
        <is>
          <t>29972926</t>
        </is>
      </c>
      <c r="AY1120" t="inlineStr">
        <is>
          <t>991002310209702656</t>
        </is>
      </c>
      <c r="AZ1120" t="inlineStr">
        <is>
          <t>991002310209702656</t>
        </is>
      </c>
      <c r="BA1120" t="inlineStr">
        <is>
          <t>2269512460002656</t>
        </is>
      </c>
      <c r="BB1120" t="inlineStr">
        <is>
          <t>BOOK</t>
        </is>
      </c>
      <c r="BD1120" t="inlineStr">
        <is>
          <t>9789561311657</t>
        </is>
      </c>
      <c r="BE1120" t="inlineStr">
        <is>
          <t>32285002171683</t>
        </is>
      </c>
      <c r="BF1120" t="inlineStr">
        <is>
          <t>893245013</t>
        </is>
      </c>
    </row>
    <row r="1121">
      <c r="A1121" t="inlineStr">
        <is>
          <t>No</t>
        </is>
      </c>
      <c r="B1121" t="inlineStr">
        <is>
          <t>CURAL</t>
        </is>
      </c>
      <c r="C1121" t="inlineStr">
        <is>
          <t>SHELVES</t>
        </is>
      </c>
      <c r="D1121" t="inlineStr">
        <is>
          <t>PQ8097.N4 C17 1976</t>
        </is>
      </c>
      <c r="E1121" t="inlineStr">
        <is>
          <t>0                      PQ 8097000N  4                  C  17          1976</t>
        </is>
      </c>
      <c r="F1121" t="inlineStr">
        <is>
          <t>Canto general / Pablo Neruda ; prólogo y cronología, Fernando Alegría.</t>
        </is>
      </c>
      <c r="H1121" t="inlineStr">
        <is>
          <t>No</t>
        </is>
      </c>
      <c r="I1121" t="inlineStr">
        <is>
          <t>1</t>
        </is>
      </c>
      <c r="J1121" t="inlineStr">
        <is>
          <t>No</t>
        </is>
      </c>
      <c r="K1121" t="inlineStr">
        <is>
          <t>Yes</t>
        </is>
      </c>
      <c r="L1121" t="inlineStr">
        <is>
          <t>0</t>
        </is>
      </c>
      <c r="M1121" t="inlineStr">
        <is>
          <t>Neruda, Pablo, 1904-1973.</t>
        </is>
      </c>
      <c r="N1121" t="inlineStr">
        <is>
          <t>[Caracas] : Biblioteca Ayacucho, [1976]</t>
        </is>
      </c>
      <c r="O1121" t="inlineStr">
        <is>
          <t>1976</t>
        </is>
      </c>
      <c r="Q1121" t="inlineStr">
        <is>
          <t>spa</t>
        </is>
      </c>
      <c r="R1121" t="inlineStr">
        <is>
          <t xml:space="preserve">ve </t>
        </is>
      </c>
      <c r="S1121" t="inlineStr">
        <is>
          <t>Biblioteca Ayacucho ; 2</t>
        </is>
      </c>
      <c r="T1121" t="inlineStr">
        <is>
          <t xml:space="preserve">PQ </t>
        </is>
      </c>
      <c r="U1121" t="n">
        <v>2</v>
      </c>
      <c r="V1121" t="n">
        <v>2</v>
      </c>
      <c r="W1121" t="inlineStr">
        <is>
          <t>2001-11-19</t>
        </is>
      </c>
      <c r="X1121" t="inlineStr">
        <is>
          <t>2001-11-19</t>
        </is>
      </c>
      <c r="Y1121" t="inlineStr">
        <is>
          <t>2001-11-19</t>
        </is>
      </c>
      <c r="Z1121" t="inlineStr">
        <is>
          <t>2001-11-19</t>
        </is>
      </c>
      <c r="AA1121" t="n">
        <v>73</v>
      </c>
      <c r="AB1121" t="n">
        <v>52</v>
      </c>
      <c r="AC1121" t="n">
        <v>692</v>
      </c>
      <c r="AD1121" t="n">
        <v>1</v>
      </c>
      <c r="AE1121" t="n">
        <v>3</v>
      </c>
      <c r="AF1121" t="n">
        <v>1</v>
      </c>
      <c r="AG1121" t="n">
        <v>23</v>
      </c>
      <c r="AH1121" t="n">
        <v>0</v>
      </c>
      <c r="AI1121" t="n">
        <v>10</v>
      </c>
      <c r="AJ1121" t="n">
        <v>1</v>
      </c>
      <c r="AK1121" t="n">
        <v>7</v>
      </c>
      <c r="AL1121" t="n">
        <v>0</v>
      </c>
      <c r="AM1121" t="n">
        <v>13</v>
      </c>
      <c r="AN1121" t="n">
        <v>0</v>
      </c>
      <c r="AO1121" t="n">
        <v>2</v>
      </c>
      <c r="AP1121" t="n">
        <v>0</v>
      </c>
      <c r="AQ1121" t="n">
        <v>0</v>
      </c>
      <c r="AR1121" t="inlineStr">
        <is>
          <t>No</t>
        </is>
      </c>
      <c r="AS1121" t="inlineStr">
        <is>
          <t>No</t>
        </is>
      </c>
      <c r="AU1121">
        <f>HYPERLINK("https://creighton-primo.hosted.exlibrisgroup.com/primo-explore/search?tab=default_tab&amp;search_scope=EVERYTHING&amp;vid=01CRU&amp;lang=en_US&amp;offset=0&amp;query=any,contains,991003683259702656","Catalog Record")</f>
        <v/>
      </c>
      <c r="AV1121">
        <f>HYPERLINK("http://www.worldcat.org/oclc/3857088","WorldCat Record")</f>
        <v/>
      </c>
      <c r="AW1121" t="inlineStr">
        <is>
          <t>46983:spa</t>
        </is>
      </c>
      <c r="AX1121" t="inlineStr">
        <is>
          <t>3857088</t>
        </is>
      </c>
      <c r="AY1121" t="inlineStr">
        <is>
          <t>991003683259702656</t>
        </is>
      </c>
      <c r="AZ1121" t="inlineStr">
        <is>
          <t>991003683259702656</t>
        </is>
      </c>
      <c r="BA1121" t="inlineStr">
        <is>
          <t>2262660230002656</t>
        </is>
      </c>
      <c r="BB1121" t="inlineStr">
        <is>
          <t>BOOK</t>
        </is>
      </c>
      <c r="BE1121" t="inlineStr">
        <is>
          <t>32285004412770</t>
        </is>
      </c>
      <c r="BF1121" t="inlineStr">
        <is>
          <t>893881432</t>
        </is>
      </c>
    </row>
    <row r="1122">
      <c r="A1122" t="inlineStr">
        <is>
          <t>No</t>
        </is>
      </c>
      <c r="B1122" t="inlineStr">
        <is>
          <t>CURAL</t>
        </is>
      </c>
      <c r="C1122" t="inlineStr">
        <is>
          <t>SHELVES</t>
        </is>
      </c>
      <c r="D1122" t="inlineStr">
        <is>
          <t>PQ8097.N4 Z7157 2001</t>
        </is>
      </c>
      <c r="E1122" t="inlineStr">
        <is>
          <t>0                      PQ 8097000N  4                  Z  7157        2001</t>
        </is>
      </c>
      <c r="F1122" t="inlineStr">
        <is>
          <t>Pablo Neruda, los caminos de oriente / Edmundo Olivares Briones.</t>
        </is>
      </c>
      <c r="H1122" t="inlineStr">
        <is>
          <t>No</t>
        </is>
      </c>
      <c r="I1122" t="inlineStr">
        <is>
          <t>1</t>
        </is>
      </c>
      <c r="J1122" t="inlineStr">
        <is>
          <t>No</t>
        </is>
      </c>
      <c r="K1122" t="inlineStr">
        <is>
          <t>No</t>
        </is>
      </c>
      <c r="L1122" t="inlineStr">
        <is>
          <t>0</t>
        </is>
      </c>
      <c r="M1122" t="inlineStr">
        <is>
          <t>Olivares Briones, Edmundo.</t>
        </is>
      </c>
      <c r="N1122" t="inlineStr">
        <is>
          <t>Santiago [Chile] : LOM Ediciones, 2001.</t>
        </is>
      </c>
      <c r="O1122" t="inlineStr">
        <is>
          <t>2001</t>
        </is>
      </c>
      <c r="P1122" t="inlineStr">
        <is>
          <t>2. ed.</t>
        </is>
      </c>
      <c r="Q1122" t="inlineStr">
        <is>
          <t>spa</t>
        </is>
      </c>
      <c r="R1122" t="inlineStr">
        <is>
          <t xml:space="preserve">cl </t>
        </is>
      </c>
      <c r="S1122" t="inlineStr">
        <is>
          <t>Colección Texto sobre texto</t>
        </is>
      </c>
      <c r="T1122" t="inlineStr">
        <is>
          <t xml:space="preserve">PQ </t>
        </is>
      </c>
      <c r="U1122" t="n">
        <v>1</v>
      </c>
      <c r="V1122" t="n">
        <v>1</v>
      </c>
      <c r="W1122" t="inlineStr">
        <is>
          <t>2003-04-02</t>
        </is>
      </c>
      <c r="X1122" t="inlineStr">
        <is>
          <t>2003-04-02</t>
        </is>
      </c>
      <c r="Y1122" t="inlineStr">
        <is>
          <t>2003-04-02</t>
        </is>
      </c>
      <c r="Z1122" t="inlineStr">
        <is>
          <t>2003-04-02</t>
        </is>
      </c>
      <c r="AA1122" t="n">
        <v>106</v>
      </c>
      <c r="AB1122" t="n">
        <v>87</v>
      </c>
      <c r="AC1122" t="n">
        <v>92</v>
      </c>
      <c r="AD1122" t="n">
        <v>2</v>
      </c>
      <c r="AE1122" t="n">
        <v>2</v>
      </c>
      <c r="AF1122" t="n">
        <v>6</v>
      </c>
      <c r="AG1122" t="n">
        <v>6</v>
      </c>
      <c r="AH1122" t="n">
        <v>1</v>
      </c>
      <c r="AI1122" t="n">
        <v>1</v>
      </c>
      <c r="AJ1122" t="n">
        <v>1</v>
      </c>
      <c r="AK1122" t="n">
        <v>1</v>
      </c>
      <c r="AL1122" t="n">
        <v>5</v>
      </c>
      <c r="AM1122" t="n">
        <v>5</v>
      </c>
      <c r="AN1122" t="n">
        <v>1</v>
      </c>
      <c r="AO1122" t="n">
        <v>1</v>
      </c>
      <c r="AP1122" t="n">
        <v>0</v>
      </c>
      <c r="AQ1122" t="n">
        <v>0</v>
      </c>
      <c r="AR1122" t="inlineStr">
        <is>
          <t>No</t>
        </is>
      </c>
      <c r="AS1122" t="inlineStr">
        <is>
          <t>Yes</t>
        </is>
      </c>
      <c r="AT1122">
        <f>HYPERLINK("http://catalog.hathitrust.org/Record/004147020","HathiTrust Record")</f>
        <v/>
      </c>
      <c r="AU1122">
        <f>HYPERLINK("https://creighton-primo.hosted.exlibrisgroup.com/primo-explore/search?tab=default_tab&amp;search_scope=EVERYTHING&amp;vid=01CRU&amp;lang=en_US&amp;offset=0&amp;query=any,contains,991004028019702656","Catalog Record")</f>
        <v/>
      </c>
      <c r="AV1122">
        <f>HYPERLINK("http://www.worldcat.org/oclc/45878503","WorldCat Record")</f>
        <v/>
      </c>
      <c r="AW1122" t="inlineStr">
        <is>
          <t>5091308185:spa</t>
        </is>
      </c>
      <c r="AX1122" t="inlineStr">
        <is>
          <t>45878503</t>
        </is>
      </c>
      <c r="AY1122" t="inlineStr">
        <is>
          <t>991004028019702656</t>
        </is>
      </c>
      <c r="AZ1122" t="inlineStr">
        <is>
          <t>991004028019702656</t>
        </is>
      </c>
      <c r="BA1122" t="inlineStr">
        <is>
          <t>2256542140002656</t>
        </is>
      </c>
      <c r="BB1122" t="inlineStr">
        <is>
          <t>BOOK</t>
        </is>
      </c>
      <c r="BD1122" t="inlineStr">
        <is>
          <t>9789562823005</t>
        </is>
      </c>
      <c r="BE1122" t="inlineStr">
        <is>
          <t>32285004689211</t>
        </is>
      </c>
      <c r="BF1122" t="inlineStr">
        <is>
          <t>893712063</t>
        </is>
      </c>
    </row>
    <row r="1123">
      <c r="A1123" t="inlineStr">
        <is>
          <t>No</t>
        </is>
      </c>
      <c r="B1123" t="inlineStr">
        <is>
          <t>CURAL</t>
        </is>
      </c>
      <c r="C1123" t="inlineStr">
        <is>
          <t>SHELVES</t>
        </is>
      </c>
      <c r="D1123" t="inlineStr">
        <is>
          <t>PQ8097.N4 Z7158 2001</t>
        </is>
      </c>
      <c r="E1123" t="inlineStr">
        <is>
          <t>0                      PQ 8097000N  4                  Z  7158        2001</t>
        </is>
      </c>
      <c r="F1123" t="inlineStr">
        <is>
          <t>Pablo Neruda : los caminos del mundo / Edmundo Olivares Briones.</t>
        </is>
      </c>
      <c r="H1123" t="inlineStr">
        <is>
          <t>No</t>
        </is>
      </c>
      <c r="I1123" t="inlineStr">
        <is>
          <t>1</t>
        </is>
      </c>
      <c r="J1123" t="inlineStr">
        <is>
          <t>No</t>
        </is>
      </c>
      <c r="K1123" t="inlineStr">
        <is>
          <t>No</t>
        </is>
      </c>
      <c r="L1123" t="inlineStr">
        <is>
          <t>0</t>
        </is>
      </c>
      <c r="M1123" t="inlineStr">
        <is>
          <t>Olivares Briones, Edmundo.</t>
        </is>
      </c>
      <c r="N1123" t="inlineStr">
        <is>
          <t>Santiago de Chile : LOM Ediciones, 2001.</t>
        </is>
      </c>
      <c r="O1123" t="inlineStr">
        <is>
          <t>2001</t>
        </is>
      </c>
      <c r="P1123" t="inlineStr">
        <is>
          <t>1. ed.</t>
        </is>
      </c>
      <c r="Q1123" t="inlineStr">
        <is>
          <t>spa</t>
        </is>
      </c>
      <c r="R1123" t="inlineStr">
        <is>
          <t xml:space="preserve">cl </t>
        </is>
      </c>
      <c r="S1123" t="inlineStr">
        <is>
          <t>Colección Texto sobre texto</t>
        </is>
      </c>
      <c r="T1123" t="inlineStr">
        <is>
          <t xml:space="preserve">PQ </t>
        </is>
      </c>
      <c r="U1123" t="n">
        <v>1</v>
      </c>
      <c r="V1123" t="n">
        <v>1</v>
      </c>
      <c r="W1123" t="inlineStr">
        <is>
          <t>2003-04-02</t>
        </is>
      </c>
      <c r="X1123" t="inlineStr">
        <is>
          <t>2003-04-02</t>
        </is>
      </c>
      <c r="Y1123" t="inlineStr">
        <is>
          <t>2003-04-02</t>
        </is>
      </c>
      <c r="Z1123" t="inlineStr">
        <is>
          <t>2003-04-02</t>
        </is>
      </c>
      <c r="AA1123" t="n">
        <v>107</v>
      </c>
      <c r="AB1123" t="n">
        <v>85</v>
      </c>
      <c r="AC1123" t="n">
        <v>87</v>
      </c>
      <c r="AD1123" t="n">
        <v>2</v>
      </c>
      <c r="AE1123" t="n">
        <v>2</v>
      </c>
      <c r="AF1123" t="n">
        <v>5</v>
      </c>
      <c r="AG1123" t="n">
        <v>5</v>
      </c>
      <c r="AH1123" t="n">
        <v>1</v>
      </c>
      <c r="AI1123" t="n">
        <v>1</v>
      </c>
      <c r="AJ1123" t="n">
        <v>0</v>
      </c>
      <c r="AK1123" t="n">
        <v>0</v>
      </c>
      <c r="AL1123" t="n">
        <v>4</v>
      </c>
      <c r="AM1123" t="n">
        <v>4</v>
      </c>
      <c r="AN1123" t="n">
        <v>1</v>
      </c>
      <c r="AO1123" t="n">
        <v>1</v>
      </c>
      <c r="AP1123" t="n">
        <v>0</v>
      </c>
      <c r="AQ1123" t="n">
        <v>0</v>
      </c>
      <c r="AR1123" t="inlineStr">
        <is>
          <t>No</t>
        </is>
      </c>
      <c r="AS1123" t="inlineStr">
        <is>
          <t>Yes</t>
        </is>
      </c>
      <c r="AT1123">
        <f>HYPERLINK("http://catalog.hathitrust.org/Record/004252367","HathiTrust Record")</f>
        <v/>
      </c>
      <c r="AU1123">
        <f>HYPERLINK("https://creighton-primo.hosted.exlibrisgroup.com/primo-explore/search?tab=default_tab&amp;search_scope=EVERYTHING&amp;vid=01CRU&amp;lang=en_US&amp;offset=0&amp;query=any,contains,991004027969702656","Catalog Record")</f>
        <v/>
      </c>
      <c r="AV1123">
        <f>HYPERLINK("http://www.worldcat.org/oclc/49821556","WorldCat Record")</f>
        <v/>
      </c>
      <c r="AW1123" t="inlineStr">
        <is>
          <t>2946051381:spa</t>
        </is>
      </c>
      <c r="AX1123" t="inlineStr">
        <is>
          <t>49821556</t>
        </is>
      </c>
      <c r="AY1123" t="inlineStr">
        <is>
          <t>991004027969702656</t>
        </is>
      </c>
      <c r="AZ1123" t="inlineStr">
        <is>
          <t>991004027969702656</t>
        </is>
      </c>
      <c r="BA1123" t="inlineStr">
        <is>
          <t>2254702010002656</t>
        </is>
      </c>
      <c r="BB1123" t="inlineStr">
        <is>
          <t>BOOK</t>
        </is>
      </c>
      <c r="BD1123" t="inlineStr">
        <is>
          <t>9789562824200</t>
        </is>
      </c>
      <c r="BE1123" t="inlineStr">
        <is>
          <t>32285004689146</t>
        </is>
      </c>
      <c r="BF1123" t="inlineStr">
        <is>
          <t>893699747</t>
        </is>
      </c>
    </row>
    <row r="1124">
      <c r="A1124" t="inlineStr">
        <is>
          <t>No</t>
        </is>
      </c>
      <c r="B1124" t="inlineStr">
        <is>
          <t>CURAL</t>
        </is>
      </c>
      <c r="C1124" t="inlineStr">
        <is>
          <t>SHELVES</t>
        </is>
      </c>
      <c r="D1124" t="inlineStr">
        <is>
          <t>PQ8097.P3225 D4 1998</t>
        </is>
      </c>
      <c r="E1124" t="inlineStr">
        <is>
          <t>0                      PQ 8097000P  3225               D  4           1998</t>
        </is>
      </c>
      <c r="F1124" t="inlineStr">
        <is>
          <t>Décimas : autobiografía en verso / Violeta Parra ; presentadas por Pablo Neruda, Nicanor Parra y Pablo de Rokha.</t>
        </is>
      </c>
      <c r="H1124" t="inlineStr">
        <is>
          <t>No</t>
        </is>
      </c>
      <c r="I1124" t="inlineStr">
        <is>
          <t>1</t>
        </is>
      </c>
      <c r="J1124" t="inlineStr">
        <is>
          <t>No</t>
        </is>
      </c>
      <c r="K1124" t="inlineStr">
        <is>
          <t>No</t>
        </is>
      </c>
      <c r="L1124" t="inlineStr">
        <is>
          <t>0</t>
        </is>
      </c>
      <c r="M1124" t="inlineStr">
        <is>
          <t>Parra, Violeta, 1917-1967.</t>
        </is>
      </c>
      <c r="N1124" t="inlineStr">
        <is>
          <t>Santiago de Chile : Sudamericana, c1998.</t>
        </is>
      </c>
      <c r="O1124" t="inlineStr">
        <is>
          <t>1998</t>
        </is>
      </c>
      <c r="Q1124" t="inlineStr">
        <is>
          <t>spa</t>
        </is>
      </c>
      <c r="R1124" t="inlineStr">
        <is>
          <t xml:space="preserve">cl </t>
        </is>
      </c>
      <c r="T1124" t="inlineStr">
        <is>
          <t xml:space="preserve">PQ </t>
        </is>
      </c>
      <c r="U1124" t="n">
        <v>1</v>
      </c>
      <c r="V1124" t="n">
        <v>1</v>
      </c>
      <c r="W1124" t="inlineStr">
        <is>
          <t>2002-05-08</t>
        </is>
      </c>
      <c r="X1124" t="inlineStr">
        <is>
          <t>2002-05-08</t>
        </is>
      </c>
      <c r="Y1124" t="inlineStr">
        <is>
          <t>2002-04-30</t>
        </is>
      </c>
      <c r="Z1124" t="inlineStr">
        <is>
          <t>2002-04-30</t>
        </is>
      </c>
      <c r="AA1124" t="n">
        <v>13</v>
      </c>
      <c r="AB1124" t="n">
        <v>11</v>
      </c>
      <c r="AC1124" t="n">
        <v>67</v>
      </c>
      <c r="AD1124" t="n">
        <v>1</v>
      </c>
      <c r="AE1124" t="n">
        <v>1</v>
      </c>
      <c r="AF1124" t="n">
        <v>0</v>
      </c>
      <c r="AG1124" t="n">
        <v>0</v>
      </c>
      <c r="AH1124" t="n">
        <v>0</v>
      </c>
      <c r="AI1124" t="n">
        <v>0</v>
      </c>
      <c r="AJ1124" t="n">
        <v>0</v>
      </c>
      <c r="AK1124" t="n">
        <v>0</v>
      </c>
      <c r="AL1124" t="n">
        <v>0</v>
      </c>
      <c r="AM1124" t="n">
        <v>0</v>
      </c>
      <c r="AN1124" t="n">
        <v>0</v>
      </c>
      <c r="AO1124" t="n">
        <v>0</v>
      </c>
      <c r="AP1124" t="n">
        <v>0</v>
      </c>
      <c r="AQ1124" t="n">
        <v>0</v>
      </c>
      <c r="AR1124" t="inlineStr">
        <is>
          <t>No</t>
        </is>
      </c>
      <c r="AS1124" t="inlineStr">
        <is>
          <t>No</t>
        </is>
      </c>
      <c r="AU1124">
        <f>HYPERLINK("https://creighton-primo.hosted.exlibrisgroup.com/primo-explore/search?tab=default_tab&amp;search_scope=EVERYTHING&amp;vid=01CRU&amp;lang=en_US&amp;offset=0&amp;query=any,contains,991003772679702656","Catalog Record")</f>
        <v/>
      </c>
      <c r="AV1124">
        <f>HYPERLINK("http://www.worldcat.org/oclc/44121874","WorldCat Record")</f>
        <v/>
      </c>
      <c r="AW1124" t="inlineStr">
        <is>
          <t>3901179720:spa</t>
        </is>
      </c>
      <c r="AX1124" t="inlineStr">
        <is>
          <t>44121874</t>
        </is>
      </c>
      <c r="AY1124" t="inlineStr">
        <is>
          <t>991003772679702656</t>
        </is>
      </c>
      <c r="AZ1124" t="inlineStr">
        <is>
          <t>991003772679702656</t>
        </is>
      </c>
      <c r="BA1124" t="inlineStr">
        <is>
          <t>2272222490002656</t>
        </is>
      </c>
      <c r="BB1124" t="inlineStr">
        <is>
          <t>BOOK</t>
        </is>
      </c>
      <c r="BE1124" t="inlineStr">
        <is>
          <t>32285004484803</t>
        </is>
      </c>
      <c r="BF1124" t="inlineStr">
        <is>
          <t>893718050</t>
        </is>
      </c>
    </row>
    <row r="1125">
      <c r="A1125" t="inlineStr">
        <is>
          <t>No</t>
        </is>
      </c>
      <c r="B1125" t="inlineStr">
        <is>
          <t>CURAL</t>
        </is>
      </c>
      <c r="C1125" t="inlineStr">
        <is>
          <t>SHELVES</t>
        </is>
      </c>
      <c r="D1125" t="inlineStr">
        <is>
          <t>PQ8097.P7 A597 1989</t>
        </is>
      </c>
      <c r="E1125" t="inlineStr">
        <is>
          <t>0                      PQ 8097000P  7                  A  597         1989</t>
        </is>
      </c>
      <c r="F1125" t="inlineStr">
        <is>
          <t>Alsino / Pedro Prado ; comentario de Juan Antonio Massone.</t>
        </is>
      </c>
      <c r="H1125" t="inlineStr">
        <is>
          <t>No</t>
        </is>
      </c>
      <c r="I1125" t="inlineStr">
        <is>
          <t>1</t>
        </is>
      </c>
      <c r="J1125" t="inlineStr">
        <is>
          <t>No</t>
        </is>
      </c>
      <c r="K1125" t="inlineStr">
        <is>
          <t>No</t>
        </is>
      </c>
      <c r="L1125" t="inlineStr">
        <is>
          <t>0</t>
        </is>
      </c>
      <c r="M1125" t="inlineStr">
        <is>
          <t>Prado, Pedro, 1886-1952.</t>
        </is>
      </c>
      <c r="N1125" t="inlineStr">
        <is>
          <t>Santiago, Chile : Editorial Andres Bello, 1989.</t>
        </is>
      </c>
      <c r="O1125" t="inlineStr">
        <is>
          <t>1989</t>
        </is>
      </c>
      <c r="P1125" t="inlineStr">
        <is>
          <t>2a ed.</t>
        </is>
      </c>
      <c r="Q1125" t="inlineStr">
        <is>
          <t>spa</t>
        </is>
      </c>
      <c r="R1125" t="inlineStr">
        <is>
          <t xml:space="preserve">ch </t>
        </is>
      </c>
      <c r="S1125" t="inlineStr">
        <is>
          <t>Biblioteca Andres Bello ; 68</t>
        </is>
      </c>
      <c r="T1125" t="inlineStr">
        <is>
          <t xml:space="preserve">PQ </t>
        </is>
      </c>
      <c r="U1125" t="n">
        <v>0</v>
      </c>
      <c r="V1125" t="n">
        <v>0</v>
      </c>
      <c r="W1125" t="inlineStr">
        <is>
          <t>2004-09-07</t>
        </is>
      </c>
      <c r="X1125" t="inlineStr">
        <is>
          <t>2004-09-07</t>
        </is>
      </c>
      <c r="Y1125" t="inlineStr">
        <is>
          <t>1996-06-18</t>
        </is>
      </c>
      <c r="Z1125" t="inlineStr">
        <is>
          <t>1996-06-18</t>
        </is>
      </c>
      <c r="AA1125" t="n">
        <v>10</v>
      </c>
      <c r="AB1125" t="n">
        <v>9</v>
      </c>
      <c r="AC1125" t="n">
        <v>413</v>
      </c>
      <c r="AD1125" t="n">
        <v>1</v>
      </c>
      <c r="AE1125" t="n">
        <v>4</v>
      </c>
      <c r="AF1125" t="n">
        <v>0</v>
      </c>
      <c r="AG1125" t="n">
        <v>23</v>
      </c>
      <c r="AH1125" t="n">
        <v>0</v>
      </c>
      <c r="AI1125" t="n">
        <v>7</v>
      </c>
      <c r="AJ1125" t="n">
        <v>0</v>
      </c>
      <c r="AK1125" t="n">
        <v>5</v>
      </c>
      <c r="AL1125" t="n">
        <v>0</v>
      </c>
      <c r="AM1125" t="n">
        <v>12</v>
      </c>
      <c r="AN1125" t="n">
        <v>0</v>
      </c>
      <c r="AO1125" t="n">
        <v>3</v>
      </c>
      <c r="AP1125" t="n">
        <v>0</v>
      </c>
      <c r="AQ1125" t="n">
        <v>0</v>
      </c>
      <c r="AR1125" t="inlineStr">
        <is>
          <t>No</t>
        </is>
      </c>
      <c r="AS1125" t="inlineStr">
        <is>
          <t>No</t>
        </is>
      </c>
      <c r="AU1125">
        <f>HYPERLINK("https://creighton-primo.hosted.exlibrisgroup.com/primo-explore/search?tab=default_tab&amp;search_scope=EVERYTHING&amp;vid=01CRU&amp;lang=en_US&amp;offset=0&amp;query=any,contains,991001851649702656","Catalog Record")</f>
        <v/>
      </c>
      <c r="AV1125">
        <f>HYPERLINK("http://www.worldcat.org/oclc/23231610","WorldCat Record")</f>
        <v/>
      </c>
      <c r="AW1125" t="inlineStr">
        <is>
          <t>355626:spa</t>
        </is>
      </c>
      <c r="AX1125" t="inlineStr">
        <is>
          <t>23231610</t>
        </is>
      </c>
      <c r="AY1125" t="inlineStr">
        <is>
          <t>991001851649702656</t>
        </is>
      </c>
      <c r="AZ1125" t="inlineStr">
        <is>
          <t>991001851649702656</t>
        </is>
      </c>
      <c r="BA1125" t="inlineStr">
        <is>
          <t>2268624370002656</t>
        </is>
      </c>
      <c r="BB1125" t="inlineStr">
        <is>
          <t>BOOK</t>
        </is>
      </c>
      <c r="BE1125" t="inlineStr">
        <is>
          <t>32285002194248</t>
        </is>
      </c>
      <c r="BF1125" t="inlineStr">
        <is>
          <t>893426926</t>
        </is>
      </c>
    </row>
    <row r="1126">
      <c r="A1126" t="inlineStr">
        <is>
          <t>No</t>
        </is>
      </c>
      <c r="B1126" t="inlineStr">
        <is>
          <t>CURAL</t>
        </is>
      </c>
      <c r="C1126" t="inlineStr">
        <is>
          <t>SHELVES</t>
        </is>
      </c>
      <c r="D1126" t="inlineStr">
        <is>
          <t>PQ8097.R782 V3</t>
        </is>
      </c>
      <c r="E1126" t="inlineStr">
        <is>
          <t>0                      PQ 8097000R  782                V  3</t>
        </is>
      </c>
      <c r="F1126" t="inlineStr">
        <is>
          <t>El vaso de leche y sus mejores cuentos.</t>
        </is>
      </c>
      <c r="H1126" t="inlineStr">
        <is>
          <t>No</t>
        </is>
      </c>
      <c r="I1126" t="inlineStr">
        <is>
          <t>1</t>
        </is>
      </c>
      <c r="J1126" t="inlineStr">
        <is>
          <t>No</t>
        </is>
      </c>
      <c r="K1126" t="inlineStr">
        <is>
          <t>No</t>
        </is>
      </c>
      <c r="L1126" t="inlineStr">
        <is>
          <t>0</t>
        </is>
      </c>
      <c r="M1126" t="inlineStr">
        <is>
          <t>Rojas, Manuel, 1896-1973.</t>
        </is>
      </c>
      <c r="N1126" t="inlineStr">
        <is>
          <t>Santiago, Chile, Editorial Nascimento, 1967.</t>
        </is>
      </c>
      <c r="O1126" t="inlineStr">
        <is>
          <t>1967</t>
        </is>
      </c>
      <c r="Q1126" t="inlineStr">
        <is>
          <t>spa</t>
        </is>
      </c>
      <c r="R1126" t="inlineStr">
        <is>
          <t xml:space="preserve">xx </t>
        </is>
      </c>
      <c r="T1126" t="inlineStr">
        <is>
          <t xml:space="preserve">PQ </t>
        </is>
      </c>
      <c r="U1126" t="n">
        <v>1</v>
      </c>
      <c r="V1126" t="n">
        <v>1</v>
      </c>
      <c r="W1126" t="inlineStr">
        <is>
          <t>2001-11-29</t>
        </is>
      </c>
      <c r="X1126" t="inlineStr">
        <is>
          <t>2001-11-29</t>
        </is>
      </c>
      <c r="Y1126" t="inlineStr">
        <is>
          <t>1997-08-08</t>
        </is>
      </c>
      <c r="Z1126" t="inlineStr">
        <is>
          <t>1997-08-08</t>
        </is>
      </c>
      <c r="AA1126" t="n">
        <v>70</v>
      </c>
      <c r="AB1126" t="n">
        <v>62</v>
      </c>
      <c r="AC1126" t="n">
        <v>125</v>
      </c>
      <c r="AD1126" t="n">
        <v>2</v>
      </c>
      <c r="AE1126" t="n">
        <v>2</v>
      </c>
      <c r="AF1126" t="n">
        <v>2</v>
      </c>
      <c r="AG1126" t="n">
        <v>4</v>
      </c>
      <c r="AH1126" t="n">
        <v>0</v>
      </c>
      <c r="AI1126" t="n">
        <v>0</v>
      </c>
      <c r="AJ1126" t="n">
        <v>1</v>
      </c>
      <c r="AK1126" t="n">
        <v>3</v>
      </c>
      <c r="AL1126" t="n">
        <v>0</v>
      </c>
      <c r="AM1126" t="n">
        <v>1</v>
      </c>
      <c r="AN1126" t="n">
        <v>1</v>
      </c>
      <c r="AO1126" t="n">
        <v>1</v>
      </c>
      <c r="AP1126" t="n">
        <v>0</v>
      </c>
      <c r="AQ1126" t="n">
        <v>0</v>
      </c>
      <c r="AR1126" t="inlineStr">
        <is>
          <t>No</t>
        </is>
      </c>
      <c r="AS1126" t="inlineStr">
        <is>
          <t>No</t>
        </is>
      </c>
      <c r="AU1126">
        <f>HYPERLINK("https://creighton-primo.hosted.exlibrisgroup.com/primo-explore/search?tab=default_tab&amp;search_scope=EVERYTHING&amp;vid=01CRU&amp;lang=en_US&amp;offset=0&amp;query=any,contains,991003565949702656","Catalog Record")</f>
        <v/>
      </c>
      <c r="AV1126">
        <f>HYPERLINK("http://www.worldcat.org/oclc/1138449","WorldCat Record")</f>
        <v/>
      </c>
      <c r="AW1126" t="inlineStr">
        <is>
          <t>364582225:spa</t>
        </is>
      </c>
      <c r="AX1126" t="inlineStr">
        <is>
          <t>1138449</t>
        </is>
      </c>
      <c r="AY1126" t="inlineStr">
        <is>
          <t>991003565949702656</t>
        </is>
      </c>
      <c r="AZ1126" t="inlineStr">
        <is>
          <t>991003565949702656</t>
        </is>
      </c>
      <c r="BA1126" t="inlineStr">
        <is>
          <t>2270451650002656</t>
        </is>
      </c>
      <c r="BB1126" t="inlineStr">
        <is>
          <t>BOOK</t>
        </is>
      </c>
      <c r="BE1126" t="inlineStr">
        <is>
          <t>32285003061842</t>
        </is>
      </c>
      <c r="BF1126" t="inlineStr">
        <is>
          <t>893868567</t>
        </is>
      </c>
    </row>
    <row r="1127">
      <c r="A1127" t="inlineStr">
        <is>
          <t>No</t>
        </is>
      </c>
      <c r="B1127" t="inlineStr">
        <is>
          <t>CURAL</t>
        </is>
      </c>
      <c r="C1127" t="inlineStr">
        <is>
          <t>SHELVES</t>
        </is>
      </c>
      <c r="D1127" t="inlineStr">
        <is>
          <t>PQ8097.R87 C6 2002</t>
        </is>
      </c>
      <c r="E1127" t="inlineStr">
        <is>
          <t>0                      PQ 8097000R  87                 C  6           2002</t>
        </is>
      </c>
      <c r="F1127" t="inlineStr">
        <is>
          <t>Cortejo y epinicio / David Rosenmann-Taub.</t>
        </is>
      </c>
      <c r="H1127" t="inlineStr">
        <is>
          <t>No</t>
        </is>
      </c>
      <c r="I1127" t="inlineStr">
        <is>
          <t>1</t>
        </is>
      </c>
      <c r="J1127" t="inlineStr">
        <is>
          <t>No</t>
        </is>
      </c>
      <c r="K1127" t="inlineStr">
        <is>
          <t>No</t>
        </is>
      </c>
      <c r="L1127" t="inlineStr">
        <is>
          <t>0</t>
        </is>
      </c>
      <c r="M1127" t="inlineStr">
        <is>
          <t>Rosenmann Taub, David, 1927-</t>
        </is>
      </c>
      <c r="N1127" t="inlineStr">
        <is>
          <t>Santiago : LOM Ediciones, 2002.</t>
        </is>
      </c>
      <c r="O1127" t="inlineStr">
        <is>
          <t>2002</t>
        </is>
      </c>
      <c r="P1127" t="inlineStr">
        <is>
          <t>1a ed.</t>
        </is>
      </c>
      <c r="Q1127" t="inlineStr">
        <is>
          <t>spa</t>
        </is>
      </c>
      <c r="R1127" t="inlineStr">
        <is>
          <t xml:space="preserve">cl </t>
        </is>
      </c>
      <c r="S1127" t="inlineStr">
        <is>
          <t>Colección Entre mares. Poesía</t>
        </is>
      </c>
      <c r="T1127" t="inlineStr">
        <is>
          <t xml:space="preserve">PQ </t>
        </is>
      </c>
      <c r="U1127" t="n">
        <v>2</v>
      </c>
      <c r="V1127" t="n">
        <v>2</v>
      </c>
      <c r="W1127" t="inlineStr">
        <is>
          <t>2003-11-04</t>
        </is>
      </c>
      <c r="X1127" t="inlineStr">
        <is>
          <t>2003-11-04</t>
        </is>
      </c>
      <c r="Y1127" t="inlineStr">
        <is>
          <t>2003-11-04</t>
        </is>
      </c>
      <c r="Z1127" t="inlineStr">
        <is>
          <t>2003-11-04</t>
        </is>
      </c>
      <c r="AA1127" t="n">
        <v>63</v>
      </c>
      <c r="AB1127" t="n">
        <v>47</v>
      </c>
      <c r="AC1127" t="n">
        <v>66</v>
      </c>
      <c r="AD1127" t="n">
        <v>1</v>
      </c>
      <c r="AE1127" t="n">
        <v>1</v>
      </c>
      <c r="AF1127" t="n">
        <v>1</v>
      </c>
      <c r="AG1127" t="n">
        <v>2</v>
      </c>
      <c r="AH1127" t="n">
        <v>0</v>
      </c>
      <c r="AI1127" t="n">
        <v>0</v>
      </c>
      <c r="AJ1127" t="n">
        <v>0</v>
      </c>
      <c r="AK1127" t="n">
        <v>0</v>
      </c>
      <c r="AL1127" t="n">
        <v>1</v>
      </c>
      <c r="AM1127" t="n">
        <v>2</v>
      </c>
      <c r="AN1127" t="n">
        <v>0</v>
      </c>
      <c r="AO1127" t="n">
        <v>0</v>
      </c>
      <c r="AP1127" t="n">
        <v>0</v>
      </c>
      <c r="AQ1127" t="n">
        <v>0</v>
      </c>
      <c r="AR1127" t="inlineStr">
        <is>
          <t>No</t>
        </is>
      </c>
      <c r="AS1127" t="inlineStr">
        <is>
          <t>Yes</t>
        </is>
      </c>
      <c r="AT1127">
        <f>HYPERLINK("http://catalog.hathitrust.org/Record/004306704","HathiTrust Record")</f>
        <v/>
      </c>
      <c r="AU1127">
        <f>HYPERLINK("https://creighton-primo.hosted.exlibrisgroup.com/primo-explore/search?tab=default_tab&amp;search_scope=EVERYTHING&amp;vid=01CRU&amp;lang=en_US&amp;offset=0&amp;query=any,contains,991004168829702656","Catalog Record")</f>
        <v/>
      </c>
      <c r="AV1127">
        <f>HYPERLINK("http://www.worldcat.org/oclc/52049454","WorldCat Record")</f>
        <v/>
      </c>
      <c r="AW1127" t="inlineStr">
        <is>
          <t>52192088:spa</t>
        </is>
      </c>
      <c r="AX1127" t="inlineStr">
        <is>
          <t>52049454</t>
        </is>
      </c>
      <c r="AY1127" t="inlineStr">
        <is>
          <t>991004168829702656</t>
        </is>
      </c>
      <c r="AZ1127" t="inlineStr">
        <is>
          <t>991004168829702656</t>
        </is>
      </c>
      <c r="BA1127" t="inlineStr">
        <is>
          <t>2268964140002656</t>
        </is>
      </c>
      <c r="BB1127" t="inlineStr">
        <is>
          <t>BOOK</t>
        </is>
      </c>
      <c r="BD1127" t="inlineStr">
        <is>
          <t>9789562824934</t>
        </is>
      </c>
      <c r="BE1127" t="inlineStr">
        <is>
          <t>32285004793690</t>
        </is>
      </c>
      <c r="BF1127" t="inlineStr">
        <is>
          <t>893888376</t>
        </is>
      </c>
    </row>
    <row r="1128">
      <c r="A1128" t="inlineStr">
        <is>
          <t>No</t>
        </is>
      </c>
      <c r="B1128" t="inlineStr">
        <is>
          <t>CURAL</t>
        </is>
      </c>
      <c r="C1128" t="inlineStr">
        <is>
          <t>SHELVES</t>
        </is>
      </c>
      <c r="D1128" t="inlineStr">
        <is>
          <t>PQ8097.T46 C7</t>
        </is>
      </c>
      <c r="E1128" t="inlineStr">
        <is>
          <t>0                      PQ 8097000T  46                 C  7</t>
        </is>
      </c>
      <c r="F1128" t="inlineStr">
        <is>
          <t>Cristián y yo. Prólogo de Mariano Latorre, ilustraciones de Romera.</t>
        </is>
      </c>
      <c r="H1128" t="inlineStr">
        <is>
          <t>No</t>
        </is>
      </c>
      <c r="I1128" t="inlineStr">
        <is>
          <t>1</t>
        </is>
      </c>
      <c r="J1128" t="inlineStr">
        <is>
          <t>No</t>
        </is>
      </c>
      <c r="K1128" t="inlineStr">
        <is>
          <t>No</t>
        </is>
      </c>
      <c r="L1128" t="inlineStr">
        <is>
          <t>0</t>
        </is>
      </c>
      <c r="M1128" t="inlineStr">
        <is>
          <t>Halmar, Augusto d', 1882-1950.</t>
        </is>
      </c>
      <c r="N1128" t="inlineStr">
        <is>
          <t>[Santiago de Chile] Nascimento, 1963.</t>
        </is>
      </c>
      <c r="O1128" t="inlineStr">
        <is>
          <t>1963</t>
        </is>
      </c>
      <c r="Q1128" t="inlineStr">
        <is>
          <t>spa</t>
        </is>
      </c>
      <c r="R1128" t="inlineStr">
        <is>
          <t xml:space="preserve">cl </t>
        </is>
      </c>
      <c r="T1128" t="inlineStr">
        <is>
          <t xml:space="preserve">PQ </t>
        </is>
      </c>
      <c r="U1128" t="n">
        <v>1</v>
      </c>
      <c r="V1128" t="n">
        <v>1</v>
      </c>
      <c r="W1128" t="inlineStr">
        <is>
          <t>2001-11-07</t>
        </is>
      </c>
      <c r="X1128" t="inlineStr">
        <is>
          <t>2001-11-07</t>
        </is>
      </c>
      <c r="Y1128" t="inlineStr">
        <is>
          <t>1997-08-08</t>
        </is>
      </c>
      <c r="Z1128" t="inlineStr">
        <is>
          <t>1997-08-08</t>
        </is>
      </c>
      <c r="AA1128" t="n">
        <v>51</v>
      </c>
      <c r="AB1128" t="n">
        <v>39</v>
      </c>
      <c r="AC1128" t="n">
        <v>98</v>
      </c>
      <c r="AD1128" t="n">
        <v>2</v>
      </c>
      <c r="AE1128" t="n">
        <v>2</v>
      </c>
      <c r="AF1128" t="n">
        <v>2</v>
      </c>
      <c r="AG1128" t="n">
        <v>3</v>
      </c>
      <c r="AH1128" t="n">
        <v>0</v>
      </c>
      <c r="AI1128" t="n">
        <v>0</v>
      </c>
      <c r="AJ1128" t="n">
        <v>0</v>
      </c>
      <c r="AK1128" t="n">
        <v>0</v>
      </c>
      <c r="AL1128" t="n">
        <v>1</v>
      </c>
      <c r="AM1128" t="n">
        <v>2</v>
      </c>
      <c r="AN1128" t="n">
        <v>1</v>
      </c>
      <c r="AO1128" t="n">
        <v>1</v>
      </c>
      <c r="AP1128" t="n">
        <v>0</v>
      </c>
      <c r="AQ1128" t="n">
        <v>0</v>
      </c>
      <c r="AR1128" t="inlineStr">
        <is>
          <t>No</t>
        </is>
      </c>
      <c r="AS1128" t="inlineStr">
        <is>
          <t>Yes</t>
        </is>
      </c>
      <c r="AT1128">
        <f>HYPERLINK("http://catalog.hathitrust.org/Record/001721190","HathiTrust Record")</f>
        <v/>
      </c>
      <c r="AU1128">
        <f>HYPERLINK("https://creighton-primo.hosted.exlibrisgroup.com/primo-explore/search?tab=default_tab&amp;search_scope=EVERYTHING&amp;vid=01CRU&amp;lang=en_US&amp;offset=0&amp;query=any,contains,991005031769702656","Catalog Record")</f>
        <v/>
      </c>
      <c r="AV1128">
        <f>HYPERLINK("http://www.worldcat.org/oclc/6730404","WorldCat Record")</f>
        <v/>
      </c>
      <c r="AW1128" t="inlineStr">
        <is>
          <t>9772625:spa</t>
        </is>
      </c>
      <c r="AX1128" t="inlineStr">
        <is>
          <t>6730404</t>
        </is>
      </c>
      <c r="AY1128" t="inlineStr">
        <is>
          <t>991005031769702656</t>
        </is>
      </c>
      <c r="AZ1128" t="inlineStr">
        <is>
          <t>991005031769702656</t>
        </is>
      </c>
      <c r="BA1128" t="inlineStr">
        <is>
          <t>2264408680002656</t>
        </is>
      </c>
      <c r="BB1128" t="inlineStr">
        <is>
          <t>BOOK</t>
        </is>
      </c>
      <c r="BE1128" t="inlineStr">
        <is>
          <t>32285003061859</t>
        </is>
      </c>
      <c r="BF1128" t="inlineStr">
        <is>
          <t>893430737</t>
        </is>
      </c>
    </row>
    <row r="1129">
      <c r="A1129" t="inlineStr">
        <is>
          <t>No</t>
        </is>
      </c>
      <c r="B1129" t="inlineStr">
        <is>
          <t>CURAL</t>
        </is>
      </c>
      <c r="C1129" t="inlineStr">
        <is>
          <t>SHELVES</t>
        </is>
      </c>
      <c r="D1129" t="inlineStr">
        <is>
          <t>PQ8098.29.K3 B54 1999</t>
        </is>
      </c>
      <c r="E1129" t="inlineStr">
        <is>
          <t>0                      PQ 8098290K  3                  B  54          1999</t>
        </is>
      </c>
      <c r="F1129" t="inlineStr">
        <is>
          <t>La boda del poeta / Antonio Skármeta.</t>
        </is>
      </c>
      <c r="H1129" t="inlineStr">
        <is>
          <t>No</t>
        </is>
      </c>
      <c r="I1129" t="inlineStr">
        <is>
          <t>1</t>
        </is>
      </c>
      <c r="J1129" t="inlineStr">
        <is>
          <t>No</t>
        </is>
      </c>
      <c r="K1129" t="inlineStr">
        <is>
          <t>No</t>
        </is>
      </c>
      <c r="L1129" t="inlineStr">
        <is>
          <t>0</t>
        </is>
      </c>
      <c r="M1129" t="inlineStr">
        <is>
          <t>Skármeta, Antonio.</t>
        </is>
      </c>
      <c r="N1129" t="inlineStr">
        <is>
          <t>Barcelona : Plaza &amp; Janés, 1999.</t>
        </is>
      </c>
      <c r="O1129" t="inlineStr">
        <is>
          <t>1999</t>
        </is>
      </c>
      <c r="P1129" t="inlineStr">
        <is>
          <t>1. ed.</t>
        </is>
      </c>
      <c r="Q1129" t="inlineStr">
        <is>
          <t>spa</t>
        </is>
      </c>
      <c r="R1129" t="inlineStr">
        <is>
          <t xml:space="preserve">sp </t>
        </is>
      </c>
      <c r="T1129" t="inlineStr">
        <is>
          <t xml:space="preserve">PQ </t>
        </is>
      </c>
      <c r="U1129" t="n">
        <v>1</v>
      </c>
      <c r="V1129" t="n">
        <v>1</v>
      </c>
      <c r="W1129" t="inlineStr">
        <is>
          <t>2001-01-08</t>
        </is>
      </c>
      <c r="X1129" t="inlineStr">
        <is>
          <t>2001-01-08</t>
        </is>
      </c>
      <c r="Y1129" t="inlineStr">
        <is>
          <t>2001-01-08</t>
        </is>
      </c>
      <c r="Z1129" t="inlineStr">
        <is>
          <t>2001-01-08</t>
        </is>
      </c>
      <c r="AA1129" t="n">
        <v>184</v>
      </c>
      <c r="AB1129" t="n">
        <v>143</v>
      </c>
      <c r="AC1129" t="n">
        <v>210</v>
      </c>
      <c r="AD1129" t="n">
        <v>1</v>
      </c>
      <c r="AE1129" t="n">
        <v>1</v>
      </c>
      <c r="AF1129" t="n">
        <v>4</v>
      </c>
      <c r="AG1129" t="n">
        <v>5</v>
      </c>
      <c r="AH1129" t="n">
        <v>2</v>
      </c>
      <c r="AI1129" t="n">
        <v>2</v>
      </c>
      <c r="AJ1129" t="n">
        <v>2</v>
      </c>
      <c r="AK1129" t="n">
        <v>3</v>
      </c>
      <c r="AL1129" t="n">
        <v>2</v>
      </c>
      <c r="AM1129" t="n">
        <v>3</v>
      </c>
      <c r="AN1129" t="n">
        <v>0</v>
      </c>
      <c r="AO1129" t="n">
        <v>0</v>
      </c>
      <c r="AP1129" t="n">
        <v>0</v>
      </c>
      <c r="AQ1129" t="n">
        <v>0</v>
      </c>
      <c r="AR1129" t="inlineStr">
        <is>
          <t>No</t>
        </is>
      </c>
      <c r="AS1129" t="inlineStr">
        <is>
          <t>Yes</t>
        </is>
      </c>
      <c r="AT1129">
        <f>HYPERLINK("http://catalog.hathitrust.org/Record/004249408","HathiTrust Record")</f>
        <v/>
      </c>
      <c r="AU1129">
        <f>HYPERLINK("https://creighton-primo.hosted.exlibrisgroup.com/primo-explore/search?tab=default_tab&amp;search_scope=EVERYTHING&amp;vid=01CRU&amp;lang=en_US&amp;offset=0&amp;query=any,contains,991003254999702656","Catalog Record")</f>
        <v/>
      </c>
      <c r="AV1129">
        <f>HYPERLINK("http://www.worldcat.org/oclc/47013325","WorldCat Record")</f>
        <v/>
      </c>
      <c r="AW1129" t="inlineStr">
        <is>
          <t>8355367:spa</t>
        </is>
      </c>
      <c r="AX1129" t="inlineStr">
        <is>
          <t>47013325</t>
        </is>
      </c>
      <c r="AY1129" t="inlineStr">
        <is>
          <t>991003254999702656</t>
        </is>
      </c>
      <c r="AZ1129" t="inlineStr">
        <is>
          <t>991003254999702656</t>
        </is>
      </c>
      <c r="BA1129" t="inlineStr">
        <is>
          <t>2261989920002656</t>
        </is>
      </c>
      <c r="BB1129" t="inlineStr">
        <is>
          <t>BOOK</t>
        </is>
      </c>
      <c r="BD1129" t="inlineStr">
        <is>
          <t>9788401012853</t>
        </is>
      </c>
      <c r="BE1129" t="inlineStr">
        <is>
          <t>32285004280615</t>
        </is>
      </c>
      <c r="BF1129" t="inlineStr">
        <is>
          <t>893617155</t>
        </is>
      </c>
    </row>
    <row r="1130">
      <c r="A1130" t="inlineStr">
        <is>
          <t>No</t>
        </is>
      </c>
      <c r="B1130" t="inlineStr">
        <is>
          <t>CURAL</t>
        </is>
      </c>
      <c r="C1130" t="inlineStr">
        <is>
          <t>SHELVES</t>
        </is>
      </c>
      <c r="D1130" t="inlineStr">
        <is>
          <t>PQ8098.29.K3 C55 2001</t>
        </is>
      </c>
      <c r="E1130" t="inlineStr">
        <is>
          <t>0                      PQ 8098290K  3                  C  55          2001</t>
        </is>
      </c>
      <c r="F1130" t="inlineStr">
        <is>
          <t>La chica del trombón / Antonio Skármeta.</t>
        </is>
      </c>
      <c r="H1130" t="inlineStr">
        <is>
          <t>No</t>
        </is>
      </c>
      <c r="I1130" t="inlineStr">
        <is>
          <t>1</t>
        </is>
      </c>
      <c r="J1130" t="inlineStr">
        <is>
          <t>No</t>
        </is>
      </c>
      <c r="K1130" t="inlineStr">
        <is>
          <t>No</t>
        </is>
      </c>
      <c r="L1130" t="inlineStr">
        <is>
          <t>0</t>
        </is>
      </c>
      <c r="M1130" t="inlineStr">
        <is>
          <t>Skármeta, Antonio.</t>
        </is>
      </c>
      <c r="N1130" t="inlineStr">
        <is>
          <t>Barcelona : Plaza &amp; Janés, 2001.</t>
        </is>
      </c>
      <c r="O1130" t="inlineStr">
        <is>
          <t>2001</t>
        </is>
      </c>
      <c r="P1130" t="inlineStr">
        <is>
          <t>1. ed.</t>
        </is>
      </c>
      <c r="Q1130" t="inlineStr">
        <is>
          <t>spa</t>
        </is>
      </c>
      <c r="R1130" t="inlineStr">
        <is>
          <t xml:space="preserve">sp </t>
        </is>
      </c>
      <c r="T1130" t="inlineStr">
        <is>
          <t xml:space="preserve">PQ </t>
        </is>
      </c>
      <c r="U1130" t="n">
        <v>1</v>
      </c>
      <c r="V1130" t="n">
        <v>1</v>
      </c>
      <c r="W1130" t="inlineStr">
        <is>
          <t>2002-05-17</t>
        </is>
      </c>
      <c r="X1130" t="inlineStr">
        <is>
          <t>2002-05-17</t>
        </is>
      </c>
      <c r="Y1130" t="inlineStr">
        <is>
          <t>2002-05-14</t>
        </is>
      </c>
      <c r="Z1130" t="inlineStr">
        <is>
          <t>2002-05-14</t>
        </is>
      </c>
      <c r="AA1130" t="n">
        <v>114</v>
      </c>
      <c r="AB1130" t="n">
        <v>87</v>
      </c>
      <c r="AC1130" t="n">
        <v>171</v>
      </c>
      <c r="AD1130" t="n">
        <v>1</v>
      </c>
      <c r="AE1130" t="n">
        <v>2</v>
      </c>
      <c r="AF1130" t="n">
        <v>2</v>
      </c>
      <c r="AG1130" t="n">
        <v>5</v>
      </c>
      <c r="AH1130" t="n">
        <v>1</v>
      </c>
      <c r="AI1130" t="n">
        <v>2</v>
      </c>
      <c r="AJ1130" t="n">
        <v>1</v>
      </c>
      <c r="AK1130" t="n">
        <v>2</v>
      </c>
      <c r="AL1130" t="n">
        <v>0</v>
      </c>
      <c r="AM1130" t="n">
        <v>1</v>
      </c>
      <c r="AN1130" t="n">
        <v>0</v>
      </c>
      <c r="AO1130" t="n">
        <v>1</v>
      </c>
      <c r="AP1130" t="n">
        <v>0</v>
      </c>
      <c r="AQ1130" t="n">
        <v>0</v>
      </c>
      <c r="AR1130" t="inlineStr">
        <is>
          <t>No</t>
        </is>
      </c>
      <c r="AS1130" t="inlineStr">
        <is>
          <t>Yes</t>
        </is>
      </c>
      <c r="AT1130">
        <f>HYPERLINK("http://catalog.hathitrust.org/Record/004216523","HathiTrust Record")</f>
        <v/>
      </c>
      <c r="AU1130">
        <f>HYPERLINK("https://creighton-primo.hosted.exlibrisgroup.com/primo-explore/search?tab=default_tab&amp;search_scope=EVERYTHING&amp;vid=01CRU&amp;lang=en_US&amp;offset=0&amp;query=any,contains,991003805849702656","Catalog Record")</f>
        <v/>
      </c>
      <c r="AV1130">
        <f>HYPERLINK("http://www.worldcat.org/oclc/48041549","WorldCat Record")</f>
        <v/>
      </c>
      <c r="AW1130" t="inlineStr">
        <is>
          <t>348300948:spa</t>
        </is>
      </c>
      <c r="AX1130" t="inlineStr">
        <is>
          <t>48041549</t>
        </is>
      </c>
      <c r="AY1130" t="inlineStr">
        <is>
          <t>991003805849702656</t>
        </is>
      </c>
      <c r="AZ1130" t="inlineStr">
        <is>
          <t>991003805849702656</t>
        </is>
      </c>
      <c r="BA1130" t="inlineStr">
        <is>
          <t>2266340320002656</t>
        </is>
      </c>
      <c r="BB1130" t="inlineStr">
        <is>
          <t>BOOK</t>
        </is>
      </c>
      <c r="BD1130" t="inlineStr">
        <is>
          <t>9788401014659</t>
        </is>
      </c>
      <c r="BE1130" t="inlineStr">
        <is>
          <t>32285004488424</t>
        </is>
      </c>
      <c r="BF1130" t="inlineStr">
        <is>
          <t>893410725</t>
        </is>
      </c>
    </row>
    <row r="1131">
      <c r="A1131" t="inlineStr">
        <is>
          <t>No</t>
        </is>
      </c>
      <c r="B1131" t="inlineStr">
        <is>
          <t>CURAL</t>
        </is>
      </c>
      <c r="C1131" t="inlineStr">
        <is>
          <t>SHELVES</t>
        </is>
      </c>
      <c r="D1131" t="inlineStr">
        <is>
          <t>PQ8098.29.K3 S6 1983</t>
        </is>
      </c>
      <c r="E1131" t="inlineStr">
        <is>
          <t>0                      PQ 8098290K  3                  S  6           1983</t>
        </is>
      </c>
      <c r="F1131" t="inlineStr">
        <is>
          <t>Soñé que la nieve ardía / Antonio Skármeta.</t>
        </is>
      </c>
      <c r="H1131" t="inlineStr">
        <is>
          <t>No</t>
        </is>
      </c>
      <c r="I1131" t="inlineStr">
        <is>
          <t>1</t>
        </is>
      </c>
      <c r="J1131" t="inlineStr">
        <is>
          <t>No</t>
        </is>
      </c>
      <c r="K1131" t="inlineStr">
        <is>
          <t>No</t>
        </is>
      </c>
      <c r="L1131" t="inlineStr">
        <is>
          <t>0</t>
        </is>
      </c>
      <c r="M1131" t="inlineStr">
        <is>
          <t>Skármeta, Antonio.</t>
        </is>
      </c>
      <c r="N1131" t="inlineStr">
        <is>
          <t>La Habana : Casa de las Americas, 1983.</t>
        </is>
      </c>
      <c r="O1131" t="inlineStr">
        <is>
          <t>1983</t>
        </is>
      </c>
      <c r="Q1131" t="inlineStr">
        <is>
          <t>spa</t>
        </is>
      </c>
      <c r="R1131" t="inlineStr">
        <is>
          <t xml:space="preserve">cu </t>
        </is>
      </c>
      <c r="S1131" t="inlineStr">
        <is>
          <t>Colección La Honda</t>
        </is>
      </c>
      <c r="T1131" t="inlineStr">
        <is>
          <t xml:space="preserve">PQ </t>
        </is>
      </c>
      <c r="U1131" t="n">
        <v>1</v>
      </c>
      <c r="V1131" t="n">
        <v>1</v>
      </c>
      <c r="W1131" t="inlineStr">
        <is>
          <t>2002-04-03</t>
        </is>
      </c>
      <c r="X1131" t="inlineStr">
        <is>
          <t>2002-04-03</t>
        </is>
      </c>
      <c r="Y1131" t="inlineStr">
        <is>
          <t>2002-03-07</t>
        </is>
      </c>
      <c r="Z1131" t="inlineStr">
        <is>
          <t>2002-03-07</t>
        </is>
      </c>
      <c r="AA1131" t="n">
        <v>18</v>
      </c>
      <c r="AB1131" t="n">
        <v>11</v>
      </c>
      <c r="AC1131" t="n">
        <v>271</v>
      </c>
      <c r="AD1131" t="n">
        <v>1</v>
      </c>
      <c r="AE1131" t="n">
        <v>2</v>
      </c>
      <c r="AF1131" t="n">
        <v>0</v>
      </c>
      <c r="AG1131" t="n">
        <v>10</v>
      </c>
      <c r="AH1131" t="n">
        <v>0</v>
      </c>
      <c r="AI1131" t="n">
        <v>4</v>
      </c>
      <c r="AJ1131" t="n">
        <v>0</v>
      </c>
      <c r="AK1131" t="n">
        <v>4</v>
      </c>
      <c r="AL1131" t="n">
        <v>0</v>
      </c>
      <c r="AM1131" t="n">
        <v>4</v>
      </c>
      <c r="AN1131" t="n">
        <v>0</v>
      </c>
      <c r="AO1131" t="n">
        <v>1</v>
      </c>
      <c r="AP1131" t="n">
        <v>0</v>
      </c>
      <c r="AQ1131" t="n">
        <v>0</v>
      </c>
      <c r="AR1131" t="inlineStr">
        <is>
          <t>No</t>
        </is>
      </c>
      <c r="AS1131" t="inlineStr">
        <is>
          <t>No</t>
        </is>
      </c>
      <c r="AU1131">
        <f>HYPERLINK("https://creighton-primo.hosted.exlibrisgroup.com/primo-explore/search?tab=default_tab&amp;search_scope=EVERYTHING&amp;vid=01CRU&amp;lang=en_US&amp;offset=0&amp;query=any,contains,991003758779702656","Catalog Record")</f>
        <v/>
      </c>
      <c r="AV1131">
        <f>HYPERLINK("http://www.worldcat.org/oclc/10596881","WorldCat Record")</f>
        <v/>
      </c>
      <c r="AW1131" t="inlineStr">
        <is>
          <t>3414714:spa</t>
        </is>
      </c>
      <c r="AX1131" t="inlineStr">
        <is>
          <t>10596881</t>
        </is>
      </c>
      <c r="AY1131" t="inlineStr">
        <is>
          <t>991003758779702656</t>
        </is>
      </c>
      <c r="AZ1131" t="inlineStr">
        <is>
          <t>991003758779702656</t>
        </is>
      </c>
      <c r="BA1131" t="inlineStr">
        <is>
          <t>2264716160002656</t>
        </is>
      </c>
      <c r="BB1131" t="inlineStr">
        <is>
          <t>BOOK</t>
        </is>
      </c>
      <c r="BE1131" t="inlineStr">
        <is>
          <t>32285004460027</t>
        </is>
      </c>
      <c r="BF1131" t="inlineStr">
        <is>
          <t>893410647</t>
        </is>
      </c>
    </row>
    <row r="1132">
      <c r="A1132" t="inlineStr">
        <is>
          <t>No</t>
        </is>
      </c>
      <c r="B1132" t="inlineStr">
        <is>
          <t>CURAL</t>
        </is>
      </c>
      <c r="C1132" t="inlineStr">
        <is>
          <t>SHELVES</t>
        </is>
      </c>
      <c r="D1132" t="inlineStr">
        <is>
          <t>PQ8179 .S5 1990</t>
        </is>
      </c>
      <c r="E1132" t="inlineStr">
        <is>
          <t>0                      PQ 8179000S  5           1990</t>
        </is>
      </c>
      <c r="F1132" t="inlineStr">
        <is>
          <t>Obra completa / José Asunción Silva ; ed. crítica, Héctor H. Orjuela, coordinador.</t>
        </is>
      </c>
      <c r="H1132" t="inlineStr">
        <is>
          <t>No</t>
        </is>
      </c>
      <c r="I1132" t="inlineStr">
        <is>
          <t>1</t>
        </is>
      </c>
      <c r="J1132" t="inlineStr">
        <is>
          <t>No</t>
        </is>
      </c>
      <c r="K1132" t="inlineStr">
        <is>
          <t>No</t>
        </is>
      </c>
      <c r="L1132" t="inlineStr">
        <is>
          <t>0</t>
        </is>
      </c>
      <c r="M1132" t="inlineStr">
        <is>
          <t>Silva, José Asunción, 1865-1896.</t>
        </is>
      </c>
      <c r="N1132" t="inlineStr">
        <is>
          <t>Nanterre, France : ALLCA XX, 1990.</t>
        </is>
      </c>
      <c r="O1132" t="inlineStr">
        <is>
          <t>1990</t>
        </is>
      </c>
      <c r="Q1132" t="inlineStr">
        <is>
          <t>spa</t>
        </is>
      </c>
      <c r="R1132" t="inlineStr">
        <is>
          <t xml:space="preserve">fr </t>
        </is>
      </c>
      <c r="S1132" t="inlineStr">
        <is>
          <t>Colección Archivos ; 7</t>
        </is>
      </c>
      <c r="T1132" t="inlineStr">
        <is>
          <t xml:space="preserve">PQ </t>
        </is>
      </c>
      <c r="U1132" t="n">
        <v>2</v>
      </c>
      <c r="V1132" t="n">
        <v>2</v>
      </c>
      <c r="W1132" t="inlineStr">
        <is>
          <t>2002-03-13</t>
        </is>
      </c>
      <c r="X1132" t="inlineStr">
        <is>
          <t>2002-03-13</t>
        </is>
      </c>
      <c r="Y1132" t="inlineStr">
        <is>
          <t>1992-06-23</t>
        </is>
      </c>
      <c r="Z1132" t="inlineStr">
        <is>
          <t>1992-06-23</t>
        </is>
      </c>
      <c r="AA1132" t="n">
        <v>167</v>
      </c>
      <c r="AB1132" t="n">
        <v>136</v>
      </c>
      <c r="AC1132" t="n">
        <v>184</v>
      </c>
      <c r="AD1132" t="n">
        <v>2</v>
      </c>
      <c r="AE1132" t="n">
        <v>2</v>
      </c>
      <c r="AF1132" t="n">
        <v>7</v>
      </c>
      <c r="AG1132" t="n">
        <v>10</v>
      </c>
      <c r="AH1132" t="n">
        <v>2</v>
      </c>
      <c r="AI1132" t="n">
        <v>2</v>
      </c>
      <c r="AJ1132" t="n">
        <v>2</v>
      </c>
      <c r="AK1132" t="n">
        <v>3</v>
      </c>
      <c r="AL1132" t="n">
        <v>3</v>
      </c>
      <c r="AM1132" t="n">
        <v>6</v>
      </c>
      <c r="AN1132" t="n">
        <v>1</v>
      </c>
      <c r="AO1132" t="n">
        <v>1</v>
      </c>
      <c r="AP1132" t="n">
        <v>0</v>
      </c>
      <c r="AQ1132" t="n">
        <v>0</v>
      </c>
      <c r="AR1132" t="inlineStr">
        <is>
          <t>No</t>
        </is>
      </c>
      <c r="AS1132" t="inlineStr">
        <is>
          <t>Yes</t>
        </is>
      </c>
      <c r="AT1132">
        <f>HYPERLINK("http://catalog.hathitrust.org/Record/002446642","HathiTrust Record")</f>
        <v/>
      </c>
      <c r="AU1132">
        <f>HYPERLINK("https://creighton-primo.hosted.exlibrisgroup.com/primo-explore/search?tab=default_tab&amp;search_scope=EVERYTHING&amp;vid=01CRU&amp;lang=en_US&amp;offset=0&amp;query=any,contains,991001789149702656","Catalog Record")</f>
        <v/>
      </c>
      <c r="AV1132">
        <f>HYPERLINK("http://www.worldcat.org/oclc/22515625","WorldCat Record")</f>
        <v/>
      </c>
      <c r="AW1132" t="inlineStr">
        <is>
          <t>3473865:spa</t>
        </is>
      </c>
      <c r="AX1132" t="inlineStr">
        <is>
          <t>22515625</t>
        </is>
      </c>
      <c r="AY1132" t="inlineStr">
        <is>
          <t>991001789149702656</t>
        </is>
      </c>
      <c r="AZ1132" t="inlineStr">
        <is>
          <t>991001789149702656</t>
        </is>
      </c>
      <c r="BA1132" t="inlineStr">
        <is>
          <t>2265785950002656</t>
        </is>
      </c>
      <c r="BB1132" t="inlineStr">
        <is>
          <t>BOOK</t>
        </is>
      </c>
      <c r="BD1132" t="inlineStr">
        <is>
          <t>9788400070328</t>
        </is>
      </c>
      <c r="BE1132" t="inlineStr">
        <is>
          <t>32285001155893</t>
        </is>
      </c>
      <c r="BF1132" t="inlineStr">
        <is>
          <t>893340699</t>
        </is>
      </c>
    </row>
    <row r="1133">
      <c r="A1133" t="inlineStr">
        <is>
          <t>No</t>
        </is>
      </c>
      <c r="B1133" t="inlineStr">
        <is>
          <t>CURAL</t>
        </is>
      </c>
      <c r="C1133" t="inlineStr">
        <is>
          <t>SHELVES</t>
        </is>
      </c>
      <c r="D1133" t="inlineStr">
        <is>
          <t>PQ8179.C3 Z77</t>
        </is>
      </c>
      <c r="E1133" t="inlineStr">
        <is>
          <t>0                      PQ 8179000C  3                  Z  77</t>
        </is>
      </c>
      <c r="F1133" t="inlineStr">
        <is>
          <t>Tomás Carrasquilla / by Kurt L. Levy.</t>
        </is>
      </c>
      <c r="H1133" t="inlineStr">
        <is>
          <t>No</t>
        </is>
      </c>
      <c r="I1133" t="inlineStr">
        <is>
          <t>1</t>
        </is>
      </c>
      <c r="J1133" t="inlineStr">
        <is>
          <t>No</t>
        </is>
      </c>
      <c r="K1133" t="inlineStr">
        <is>
          <t>No</t>
        </is>
      </c>
      <c r="L1133" t="inlineStr">
        <is>
          <t>0</t>
        </is>
      </c>
      <c r="M1133" t="inlineStr">
        <is>
          <t>Levy, Kurt L.</t>
        </is>
      </c>
      <c r="N1133" t="inlineStr">
        <is>
          <t>Boston : Twayne Publishers, 1980.</t>
        </is>
      </c>
      <c r="O1133" t="inlineStr">
        <is>
          <t>1980</t>
        </is>
      </c>
      <c r="Q1133" t="inlineStr">
        <is>
          <t>eng</t>
        </is>
      </c>
      <c r="R1133" t="inlineStr">
        <is>
          <t>mau</t>
        </is>
      </c>
      <c r="S1133" t="inlineStr">
        <is>
          <t>Twayne's world authors series ; TWAS 546 : Colombia</t>
        </is>
      </c>
      <c r="T1133" t="inlineStr">
        <is>
          <t xml:space="preserve">PQ </t>
        </is>
      </c>
      <c r="U1133" t="n">
        <v>2</v>
      </c>
      <c r="V1133" t="n">
        <v>2</v>
      </c>
      <c r="W1133" t="inlineStr">
        <is>
          <t>1996-11-20</t>
        </is>
      </c>
      <c r="X1133" t="inlineStr">
        <is>
          <t>1996-11-20</t>
        </is>
      </c>
      <c r="Y1133" t="inlineStr">
        <is>
          <t>1991-08-13</t>
        </is>
      </c>
      <c r="Z1133" t="inlineStr">
        <is>
          <t>1991-08-13</t>
        </is>
      </c>
      <c r="AA1133" t="n">
        <v>391</v>
      </c>
      <c r="AB1133" t="n">
        <v>349</v>
      </c>
      <c r="AC1133" t="n">
        <v>356</v>
      </c>
      <c r="AD1133" t="n">
        <v>3</v>
      </c>
      <c r="AE1133" t="n">
        <v>3</v>
      </c>
      <c r="AF1133" t="n">
        <v>16</v>
      </c>
      <c r="AG1133" t="n">
        <v>16</v>
      </c>
      <c r="AH1133" t="n">
        <v>7</v>
      </c>
      <c r="AI1133" t="n">
        <v>7</v>
      </c>
      <c r="AJ1133" t="n">
        <v>5</v>
      </c>
      <c r="AK1133" t="n">
        <v>5</v>
      </c>
      <c r="AL1133" t="n">
        <v>7</v>
      </c>
      <c r="AM1133" t="n">
        <v>7</v>
      </c>
      <c r="AN1133" t="n">
        <v>2</v>
      </c>
      <c r="AO1133" t="n">
        <v>2</v>
      </c>
      <c r="AP1133" t="n">
        <v>0</v>
      </c>
      <c r="AQ1133" t="n">
        <v>0</v>
      </c>
      <c r="AR1133" t="inlineStr">
        <is>
          <t>No</t>
        </is>
      </c>
      <c r="AS1133" t="inlineStr">
        <is>
          <t>Yes</t>
        </is>
      </c>
      <c r="AT1133">
        <f>HYPERLINK("http://catalog.hathitrust.org/Record/000303472","HathiTrust Record")</f>
        <v/>
      </c>
      <c r="AU1133">
        <f>HYPERLINK("https://creighton-primo.hosted.exlibrisgroup.com/primo-explore/search?tab=default_tab&amp;search_scope=EVERYTHING&amp;vid=01CRU&amp;lang=en_US&amp;offset=0&amp;query=any,contains,991004778389702656","Catalog Record")</f>
        <v/>
      </c>
      <c r="AV1133">
        <f>HYPERLINK("http://www.worldcat.org/oclc/5101867","WorldCat Record")</f>
        <v/>
      </c>
      <c r="AW1133" t="inlineStr">
        <is>
          <t>2908680750:eng</t>
        </is>
      </c>
      <c r="AX1133" t="inlineStr">
        <is>
          <t>5101867</t>
        </is>
      </c>
      <c r="AY1133" t="inlineStr">
        <is>
          <t>991004778389702656</t>
        </is>
      </c>
      <c r="AZ1133" t="inlineStr">
        <is>
          <t>991004778389702656</t>
        </is>
      </c>
      <c r="BA1133" t="inlineStr">
        <is>
          <t>2259031980002656</t>
        </is>
      </c>
      <c r="BB1133" t="inlineStr">
        <is>
          <t>BOOK</t>
        </is>
      </c>
      <c r="BD1133" t="inlineStr">
        <is>
          <t>9780805763898</t>
        </is>
      </c>
      <c r="BE1133" t="inlineStr">
        <is>
          <t>32285000684117</t>
        </is>
      </c>
      <c r="BF1133" t="inlineStr">
        <is>
          <t>893344248</t>
        </is>
      </c>
    </row>
    <row r="1134">
      <c r="A1134" t="inlineStr">
        <is>
          <t>No</t>
        </is>
      </c>
      <c r="B1134" t="inlineStr">
        <is>
          <t>CURAL</t>
        </is>
      </c>
      <c r="C1134" t="inlineStr">
        <is>
          <t>SHELVES</t>
        </is>
      </c>
      <c r="D1134" t="inlineStr">
        <is>
          <t>PQ8179.I8 M3 1978</t>
        </is>
      </c>
      <c r="E1134" t="inlineStr">
        <is>
          <t>0                      PQ 8179000I  8                  M  3           1978</t>
        </is>
      </c>
      <c r="F1134" t="inlineStr">
        <is>
          <t>María / Jorge Isaacs ; prólogo, notas, y cronología, Gustavo Mejía.</t>
        </is>
      </c>
      <c r="H1134" t="inlineStr">
        <is>
          <t>No</t>
        </is>
      </c>
      <c r="I1134" t="inlineStr">
        <is>
          <t>1</t>
        </is>
      </c>
      <c r="J1134" t="inlineStr">
        <is>
          <t>No</t>
        </is>
      </c>
      <c r="K1134" t="inlineStr">
        <is>
          <t>Yes</t>
        </is>
      </c>
      <c r="L1134" t="inlineStr">
        <is>
          <t>0</t>
        </is>
      </c>
      <c r="M1134" t="inlineStr">
        <is>
          <t>Isaacs, Jorge, 1837-1895.</t>
        </is>
      </c>
      <c r="N1134" t="inlineStr">
        <is>
          <t>Caracas, Venezuela : Biblioteca Ayacucho, [1978]</t>
        </is>
      </c>
      <c r="O1134" t="inlineStr">
        <is>
          <t>1978</t>
        </is>
      </c>
      <c r="Q1134" t="inlineStr">
        <is>
          <t>spa</t>
        </is>
      </c>
      <c r="R1134" t="inlineStr">
        <is>
          <t xml:space="preserve">ve </t>
        </is>
      </c>
      <c r="S1134" t="inlineStr">
        <is>
          <t>Biblioteca Ayacucho ; 34</t>
        </is>
      </c>
      <c r="T1134" t="inlineStr">
        <is>
          <t xml:space="preserve">PQ </t>
        </is>
      </c>
      <c r="U1134" t="n">
        <v>1</v>
      </c>
      <c r="V1134" t="n">
        <v>1</v>
      </c>
      <c r="W1134" t="inlineStr">
        <is>
          <t>2001-11-19</t>
        </is>
      </c>
      <c r="X1134" t="inlineStr">
        <is>
          <t>2001-11-19</t>
        </is>
      </c>
      <c r="Y1134" t="inlineStr">
        <is>
          <t>2001-11-19</t>
        </is>
      </c>
      <c r="Z1134" t="inlineStr">
        <is>
          <t>2001-11-19</t>
        </is>
      </c>
      <c r="AA1134" t="n">
        <v>128</v>
      </c>
      <c r="AB1134" t="n">
        <v>93</v>
      </c>
      <c r="AC1134" t="n">
        <v>1028</v>
      </c>
      <c r="AD1134" t="n">
        <v>2</v>
      </c>
      <c r="AE1134" t="n">
        <v>5</v>
      </c>
      <c r="AF1134" t="n">
        <v>4</v>
      </c>
      <c r="AG1134" t="n">
        <v>37</v>
      </c>
      <c r="AH1134" t="n">
        <v>0</v>
      </c>
      <c r="AI1134" t="n">
        <v>16</v>
      </c>
      <c r="AJ1134" t="n">
        <v>2</v>
      </c>
      <c r="AK1134" t="n">
        <v>9</v>
      </c>
      <c r="AL1134" t="n">
        <v>2</v>
      </c>
      <c r="AM1134" t="n">
        <v>17</v>
      </c>
      <c r="AN1134" t="n">
        <v>1</v>
      </c>
      <c r="AO1134" t="n">
        <v>4</v>
      </c>
      <c r="AP1134" t="n">
        <v>0</v>
      </c>
      <c r="AQ1134" t="n">
        <v>0</v>
      </c>
      <c r="AR1134" t="inlineStr">
        <is>
          <t>No</t>
        </is>
      </c>
      <c r="AS1134" t="inlineStr">
        <is>
          <t>Yes</t>
        </is>
      </c>
      <c r="AT1134">
        <f>HYPERLINK("http://catalog.hathitrust.org/Record/000877601","HathiTrust Record")</f>
        <v/>
      </c>
      <c r="AU1134">
        <f>HYPERLINK("https://creighton-primo.hosted.exlibrisgroup.com/primo-explore/search?tab=default_tab&amp;search_scope=EVERYTHING&amp;vid=01CRU&amp;lang=en_US&amp;offset=0&amp;query=any,contains,991003682659702656","Catalog Record")</f>
        <v/>
      </c>
      <c r="AV1134">
        <f>HYPERLINK("http://www.worldcat.org/oclc/6197752","WorldCat Record")</f>
        <v/>
      </c>
      <c r="AW1134" t="inlineStr">
        <is>
          <t>839884:spa</t>
        </is>
      </c>
      <c r="AX1134" t="inlineStr">
        <is>
          <t>6197752</t>
        </is>
      </c>
      <c r="AY1134" t="inlineStr">
        <is>
          <t>991003682659702656</t>
        </is>
      </c>
      <c r="AZ1134" t="inlineStr">
        <is>
          <t>991003682659702656</t>
        </is>
      </c>
      <c r="BA1134" t="inlineStr">
        <is>
          <t>2264666430002656</t>
        </is>
      </c>
      <c r="BB1134" t="inlineStr">
        <is>
          <t>BOOK</t>
        </is>
      </c>
      <c r="BE1134" t="inlineStr">
        <is>
          <t>32285004412531</t>
        </is>
      </c>
      <c r="BF1134" t="inlineStr">
        <is>
          <t>893499573</t>
        </is>
      </c>
    </row>
    <row r="1135">
      <c r="A1135" t="inlineStr">
        <is>
          <t>No</t>
        </is>
      </c>
      <c r="B1135" t="inlineStr">
        <is>
          <t>CURAL</t>
        </is>
      </c>
      <c r="C1135" t="inlineStr">
        <is>
          <t>SHELVES</t>
        </is>
      </c>
      <c r="D1135" t="inlineStr">
        <is>
          <t>PQ8179.R54 V7 1976</t>
        </is>
      </c>
      <c r="E1135" t="inlineStr">
        <is>
          <t>0                      PQ 8179000R  54                 V  7           1976</t>
        </is>
      </c>
      <c r="F1135" t="inlineStr">
        <is>
          <t>La vorágine / José Eustasio Rivera ; prólogo y cronología, Juan Loveluck.</t>
        </is>
      </c>
      <c r="H1135" t="inlineStr">
        <is>
          <t>No</t>
        </is>
      </c>
      <c r="I1135" t="inlineStr">
        <is>
          <t>1</t>
        </is>
      </c>
      <c r="J1135" t="inlineStr">
        <is>
          <t>No</t>
        </is>
      </c>
      <c r="K1135" t="inlineStr">
        <is>
          <t>Yes</t>
        </is>
      </c>
      <c r="L1135" t="inlineStr">
        <is>
          <t>0</t>
        </is>
      </c>
      <c r="M1135" t="inlineStr">
        <is>
          <t>Rivera, José Eustasio, 1888-1928.</t>
        </is>
      </c>
      <c r="N1135" t="inlineStr">
        <is>
          <t>[Caracas] : Biblioteca Ayacucho, [1976]</t>
        </is>
      </c>
      <c r="O1135" t="inlineStr">
        <is>
          <t>1976</t>
        </is>
      </c>
      <c r="Q1135" t="inlineStr">
        <is>
          <t>spa</t>
        </is>
      </c>
      <c r="R1135" t="inlineStr">
        <is>
          <t xml:space="preserve">ve </t>
        </is>
      </c>
      <c r="S1135" t="inlineStr">
        <is>
          <t>Biblioteca Ayacucho ; 4</t>
        </is>
      </c>
      <c r="T1135" t="inlineStr">
        <is>
          <t xml:space="preserve">PQ </t>
        </is>
      </c>
      <c r="U1135" t="n">
        <v>1</v>
      </c>
      <c r="V1135" t="n">
        <v>1</v>
      </c>
      <c r="W1135" t="inlineStr">
        <is>
          <t>2004-09-17</t>
        </is>
      </c>
      <c r="X1135" t="inlineStr">
        <is>
          <t>2004-09-17</t>
        </is>
      </c>
      <c r="Y1135" t="inlineStr">
        <is>
          <t>2001-11-19</t>
        </is>
      </c>
      <c r="Z1135" t="inlineStr">
        <is>
          <t>2001-11-19</t>
        </is>
      </c>
      <c r="AA1135" t="n">
        <v>114</v>
      </c>
      <c r="AB1135" t="n">
        <v>81</v>
      </c>
      <c r="AC1135" t="n">
        <v>955</v>
      </c>
      <c r="AD1135" t="n">
        <v>1</v>
      </c>
      <c r="AE1135" t="n">
        <v>7</v>
      </c>
      <c r="AF1135" t="n">
        <v>3</v>
      </c>
      <c r="AG1135" t="n">
        <v>46</v>
      </c>
      <c r="AH1135" t="n">
        <v>1</v>
      </c>
      <c r="AI1135" t="n">
        <v>20</v>
      </c>
      <c r="AJ1135" t="n">
        <v>2</v>
      </c>
      <c r="AK1135" t="n">
        <v>10</v>
      </c>
      <c r="AL1135" t="n">
        <v>2</v>
      </c>
      <c r="AM1135" t="n">
        <v>20</v>
      </c>
      <c r="AN1135" t="n">
        <v>0</v>
      </c>
      <c r="AO1135" t="n">
        <v>6</v>
      </c>
      <c r="AP1135" t="n">
        <v>0</v>
      </c>
      <c r="AQ1135" t="n">
        <v>0</v>
      </c>
      <c r="AR1135" t="inlineStr">
        <is>
          <t>No</t>
        </is>
      </c>
      <c r="AS1135" t="inlineStr">
        <is>
          <t>Yes</t>
        </is>
      </c>
      <c r="AT1135">
        <f>HYPERLINK("http://catalog.hathitrust.org/Record/000133191","HathiTrust Record")</f>
        <v/>
      </c>
      <c r="AU1135">
        <f>HYPERLINK("https://creighton-primo.hosted.exlibrisgroup.com/primo-explore/search?tab=default_tab&amp;search_scope=EVERYTHING&amp;vid=01CRU&amp;lang=en_US&amp;offset=0&amp;query=any,contains,991003683219702656","Catalog Record")</f>
        <v/>
      </c>
      <c r="AV1135">
        <f>HYPERLINK("http://www.worldcat.org/oclc/6196982","WorldCat Record")</f>
        <v/>
      </c>
      <c r="AW1135" t="inlineStr">
        <is>
          <t>4163002067:spa</t>
        </is>
      </c>
      <c r="AX1135" t="inlineStr">
        <is>
          <t>6196982</t>
        </is>
      </c>
      <c r="AY1135" t="inlineStr">
        <is>
          <t>991003683219702656</t>
        </is>
      </c>
      <c r="AZ1135" t="inlineStr">
        <is>
          <t>991003683219702656</t>
        </is>
      </c>
      <c r="BA1135" t="inlineStr">
        <is>
          <t>2266382290002656</t>
        </is>
      </c>
      <c r="BB1135" t="inlineStr">
        <is>
          <t>BOOK</t>
        </is>
      </c>
      <c r="BE1135" t="inlineStr">
        <is>
          <t>32285004412721</t>
        </is>
      </c>
      <c r="BF1135" t="inlineStr">
        <is>
          <t>893787618</t>
        </is>
      </c>
    </row>
    <row r="1136">
      <c r="A1136" t="inlineStr">
        <is>
          <t>No</t>
        </is>
      </c>
      <c r="B1136" t="inlineStr">
        <is>
          <t>CURAL</t>
        </is>
      </c>
      <c r="C1136" t="inlineStr">
        <is>
          <t>SHELVES</t>
        </is>
      </c>
      <c r="D1136" t="inlineStr">
        <is>
          <t>PQ8179.S37 O3 1978</t>
        </is>
      </c>
      <c r="E1136" t="inlineStr">
        <is>
          <t>0                      PQ 8179000S  37                 O  3           1978</t>
        </is>
      </c>
      <c r="F1136" t="inlineStr">
        <is>
          <t>El oficio de lector / Baldomero Sanín Cano ; compilación, prólogo y cronología, J. G. Cobo Borda.</t>
        </is>
      </c>
      <c r="H1136" t="inlineStr">
        <is>
          <t>No</t>
        </is>
      </c>
      <c r="I1136" t="inlineStr">
        <is>
          <t>1</t>
        </is>
      </c>
      <c r="J1136" t="inlineStr">
        <is>
          <t>No</t>
        </is>
      </c>
      <c r="K1136" t="inlineStr">
        <is>
          <t>No</t>
        </is>
      </c>
      <c r="L1136" t="inlineStr">
        <is>
          <t>0</t>
        </is>
      </c>
      <c r="M1136" t="inlineStr">
        <is>
          <t>Sanín Cano, Baldomero, 1861-1957.</t>
        </is>
      </c>
      <c r="N1136" t="inlineStr">
        <is>
          <t>Caracas, Venezuela : Biblioteca Ayacucho, [1978 or 1979]</t>
        </is>
      </c>
      <c r="O1136" t="inlineStr">
        <is>
          <t>1978</t>
        </is>
      </c>
      <c r="Q1136" t="inlineStr">
        <is>
          <t>spa</t>
        </is>
      </c>
      <c r="R1136" t="inlineStr">
        <is>
          <t xml:space="preserve">ve </t>
        </is>
      </c>
      <c r="S1136" t="inlineStr">
        <is>
          <t>Biblioteca Ayacucho ; 48</t>
        </is>
      </c>
      <c r="T1136" t="inlineStr">
        <is>
          <t xml:space="preserve">PQ </t>
        </is>
      </c>
      <c r="U1136" t="n">
        <v>1</v>
      </c>
      <c r="V1136" t="n">
        <v>1</v>
      </c>
      <c r="W1136" t="inlineStr">
        <is>
          <t>2001-11-19</t>
        </is>
      </c>
      <c r="X1136" t="inlineStr">
        <is>
          <t>2001-11-19</t>
        </is>
      </c>
      <c r="Y1136" t="inlineStr">
        <is>
          <t>2001-11-19</t>
        </is>
      </c>
      <c r="Z1136" t="inlineStr">
        <is>
          <t>2001-11-19</t>
        </is>
      </c>
      <c r="AA1136" t="n">
        <v>136</v>
      </c>
      <c r="AB1136" t="n">
        <v>101</v>
      </c>
      <c r="AC1136" t="n">
        <v>116</v>
      </c>
      <c r="AD1136" t="n">
        <v>2</v>
      </c>
      <c r="AE1136" t="n">
        <v>2</v>
      </c>
      <c r="AF1136" t="n">
        <v>6</v>
      </c>
      <c r="AG1136" t="n">
        <v>6</v>
      </c>
      <c r="AH1136" t="n">
        <v>0</v>
      </c>
      <c r="AI1136" t="n">
        <v>0</v>
      </c>
      <c r="AJ1136" t="n">
        <v>4</v>
      </c>
      <c r="AK1136" t="n">
        <v>4</v>
      </c>
      <c r="AL1136" t="n">
        <v>3</v>
      </c>
      <c r="AM1136" t="n">
        <v>3</v>
      </c>
      <c r="AN1136" t="n">
        <v>1</v>
      </c>
      <c r="AO1136" t="n">
        <v>1</v>
      </c>
      <c r="AP1136" t="n">
        <v>0</v>
      </c>
      <c r="AQ1136" t="n">
        <v>0</v>
      </c>
      <c r="AR1136" t="inlineStr">
        <is>
          <t>No</t>
        </is>
      </c>
      <c r="AS1136" t="inlineStr">
        <is>
          <t>Yes</t>
        </is>
      </c>
      <c r="AT1136">
        <f>HYPERLINK("http://catalog.hathitrust.org/Record/000694636","HathiTrust Record")</f>
        <v/>
      </c>
      <c r="AU1136">
        <f>HYPERLINK("https://creighton-primo.hosted.exlibrisgroup.com/primo-explore/search?tab=default_tab&amp;search_scope=EVERYTHING&amp;vid=01CRU&amp;lang=en_US&amp;offset=0&amp;query=any,contains,991003682089702656","Catalog Record")</f>
        <v/>
      </c>
      <c r="AV1136">
        <f>HYPERLINK("http://www.worldcat.org/oclc/6196985","WorldCat Record")</f>
        <v/>
      </c>
      <c r="AW1136" t="inlineStr">
        <is>
          <t>351596746:spa</t>
        </is>
      </c>
      <c r="AX1136" t="inlineStr">
        <is>
          <t>6196985</t>
        </is>
      </c>
      <c r="AY1136" t="inlineStr">
        <is>
          <t>991003682089702656</t>
        </is>
      </c>
      <c r="AZ1136" t="inlineStr">
        <is>
          <t>991003682089702656</t>
        </is>
      </c>
      <c r="BA1136" t="inlineStr">
        <is>
          <t>2266383880002656</t>
        </is>
      </c>
      <c r="BB1136" t="inlineStr">
        <is>
          <t>BOOK</t>
        </is>
      </c>
      <c r="BD1136" t="inlineStr">
        <is>
          <t>9789802760985</t>
        </is>
      </c>
      <c r="BE1136" t="inlineStr">
        <is>
          <t>32285004412499</t>
        </is>
      </c>
      <c r="BF1136" t="inlineStr">
        <is>
          <t>893806088</t>
        </is>
      </c>
    </row>
    <row r="1137">
      <c r="A1137" t="inlineStr">
        <is>
          <t>No</t>
        </is>
      </c>
      <c r="B1137" t="inlineStr">
        <is>
          <t>CURAL</t>
        </is>
      </c>
      <c r="C1137" t="inlineStr">
        <is>
          <t>SHELVES</t>
        </is>
      </c>
      <c r="D1137" t="inlineStr">
        <is>
          <t>PQ8179.S5 P6 1963</t>
        </is>
      </c>
      <c r="E1137" t="inlineStr">
        <is>
          <t>0                      PQ 8179000S  5                  P  6           1963</t>
        </is>
      </c>
      <c r="F1137" t="inlineStr">
        <is>
          <t>Poesias completas. Seguidas de prosas selectas. Noticia biográfica por Camilo de Brigard Silva, prólogo de Miguel de Unamuno.</t>
        </is>
      </c>
      <c r="H1137" t="inlineStr">
        <is>
          <t>No</t>
        </is>
      </c>
      <c r="I1137" t="inlineStr">
        <is>
          <t>1</t>
        </is>
      </c>
      <c r="J1137" t="inlineStr">
        <is>
          <t>No</t>
        </is>
      </c>
      <c r="K1137" t="inlineStr">
        <is>
          <t>No</t>
        </is>
      </c>
      <c r="L1137" t="inlineStr">
        <is>
          <t>0</t>
        </is>
      </c>
      <c r="M1137" t="inlineStr">
        <is>
          <t>Silva, José Asunción, 1865-1896.</t>
        </is>
      </c>
      <c r="N1137" t="inlineStr">
        <is>
          <t>Madrid, Aguilar [c1963]</t>
        </is>
      </c>
      <c r="O1137" t="inlineStr">
        <is>
          <t>1963</t>
        </is>
      </c>
      <c r="P1137" t="inlineStr">
        <is>
          <t>3rd ed.</t>
        </is>
      </c>
      <c r="Q1137" t="inlineStr">
        <is>
          <t>spa</t>
        </is>
      </c>
      <c r="R1137" t="inlineStr">
        <is>
          <t xml:space="preserve">sp </t>
        </is>
      </c>
      <c r="T1137" t="inlineStr">
        <is>
          <t xml:space="preserve">PQ </t>
        </is>
      </c>
      <c r="U1137" t="n">
        <v>1</v>
      </c>
      <c r="V1137" t="n">
        <v>1</v>
      </c>
      <c r="W1137" t="inlineStr">
        <is>
          <t>1998-04-01</t>
        </is>
      </c>
      <c r="X1137" t="inlineStr">
        <is>
          <t>1998-04-01</t>
        </is>
      </c>
      <c r="Y1137" t="inlineStr">
        <is>
          <t>1997-08-08</t>
        </is>
      </c>
      <c r="Z1137" t="inlineStr">
        <is>
          <t>1997-08-08</t>
        </is>
      </c>
      <c r="AA1137" t="n">
        <v>220</v>
      </c>
      <c r="AB1137" t="n">
        <v>209</v>
      </c>
      <c r="AC1137" t="n">
        <v>216</v>
      </c>
      <c r="AD1137" t="n">
        <v>4</v>
      </c>
      <c r="AE1137" t="n">
        <v>4</v>
      </c>
      <c r="AF1137" t="n">
        <v>14</v>
      </c>
      <c r="AG1137" t="n">
        <v>14</v>
      </c>
      <c r="AH1137" t="n">
        <v>4</v>
      </c>
      <c r="AI1137" t="n">
        <v>4</v>
      </c>
      <c r="AJ1137" t="n">
        <v>2</v>
      </c>
      <c r="AK1137" t="n">
        <v>2</v>
      </c>
      <c r="AL1137" t="n">
        <v>9</v>
      </c>
      <c r="AM1137" t="n">
        <v>9</v>
      </c>
      <c r="AN1137" t="n">
        <v>3</v>
      </c>
      <c r="AO1137" t="n">
        <v>3</v>
      </c>
      <c r="AP1137" t="n">
        <v>0</v>
      </c>
      <c r="AQ1137" t="n">
        <v>0</v>
      </c>
      <c r="AR1137" t="inlineStr">
        <is>
          <t>No</t>
        </is>
      </c>
      <c r="AS1137" t="inlineStr">
        <is>
          <t>Yes</t>
        </is>
      </c>
      <c r="AT1137">
        <f>HYPERLINK("http://catalog.hathitrust.org/Record/001053935","HathiTrust Record")</f>
        <v/>
      </c>
      <c r="AU1137">
        <f>HYPERLINK("https://creighton-primo.hosted.exlibrisgroup.com/primo-explore/search?tab=default_tab&amp;search_scope=EVERYTHING&amp;vid=01CRU&amp;lang=en_US&amp;offset=0&amp;query=any,contains,991002474089702656","Catalog Record")</f>
        <v/>
      </c>
      <c r="AV1137">
        <f>HYPERLINK("http://www.worldcat.org/oclc/358796","WorldCat Record")</f>
        <v/>
      </c>
      <c r="AW1137" t="inlineStr">
        <is>
          <t>4918536450:spa</t>
        </is>
      </c>
      <c r="AX1137" t="inlineStr">
        <is>
          <t>358796</t>
        </is>
      </c>
      <c r="AY1137" t="inlineStr">
        <is>
          <t>991002474089702656</t>
        </is>
      </c>
      <c r="AZ1137" t="inlineStr">
        <is>
          <t>991002474089702656</t>
        </is>
      </c>
      <c r="BA1137" t="inlineStr">
        <is>
          <t>2265989280002656</t>
        </is>
      </c>
      <c r="BB1137" t="inlineStr">
        <is>
          <t>BOOK</t>
        </is>
      </c>
      <c r="BE1137" t="inlineStr">
        <is>
          <t>32285003061974</t>
        </is>
      </c>
      <c r="BF1137" t="inlineStr">
        <is>
          <t>893316849</t>
        </is>
      </c>
    </row>
    <row r="1138">
      <c r="A1138" t="inlineStr">
        <is>
          <t>No</t>
        </is>
      </c>
      <c r="B1138" t="inlineStr">
        <is>
          <t>CURAL</t>
        </is>
      </c>
      <c r="C1138" t="inlineStr">
        <is>
          <t>SHELVES</t>
        </is>
      </c>
      <c r="D1138" t="inlineStr">
        <is>
          <t>PQ8179.S5 Z78 1978</t>
        </is>
      </c>
      <c r="E1138" t="inlineStr">
        <is>
          <t>0                      PQ 8179000S  5                  Z  78          1978</t>
        </is>
      </c>
      <c r="F1138" t="inlineStr">
        <is>
          <t>José Asunción Silva / Betty Tyree Osiek. --</t>
        </is>
      </c>
      <c r="H1138" t="inlineStr">
        <is>
          <t>No</t>
        </is>
      </c>
      <c r="I1138" t="inlineStr">
        <is>
          <t>1</t>
        </is>
      </c>
      <c r="J1138" t="inlineStr">
        <is>
          <t>No</t>
        </is>
      </c>
      <c r="K1138" t="inlineStr">
        <is>
          <t>No</t>
        </is>
      </c>
      <c r="L1138" t="inlineStr">
        <is>
          <t>0</t>
        </is>
      </c>
      <c r="M1138" t="inlineStr">
        <is>
          <t>Osiek, Betty Tyree, 1931-</t>
        </is>
      </c>
      <c r="N1138" t="inlineStr">
        <is>
          <t>Boston : Twayne Publishers, 1978.</t>
        </is>
      </c>
      <c r="O1138" t="inlineStr">
        <is>
          <t>1978</t>
        </is>
      </c>
      <c r="Q1138" t="inlineStr">
        <is>
          <t>eng</t>
        </is>
      </c>
      <c r="R1138" t="inlineStr">
        <is>
          <t>mau</t>
        </is>
      </c>
      <c r="S1138" t="inlineStr">
        <is>
          <t>Twayne's world authors series ; TWAS no. 505 : Colombia</t>
        </is>
      </c>
      <c r="T1138" t="inlineStr">
        <is>
          <t xml:space="preserve">PQ </t>
        </is>
      </c>
      <c r="U1138" t="n">
        <v>5</v>
      </c>
      <c r="V1138" t="n">
        <v>5</v>
      </c>
      <c r="W1138" t="inlineStr">
        <is>
          <t>2002-03-13</t>
        </is>
      </c>
      <c r="X1138" t="inlineStr">
        <is>
          <t>2002-03-13</t>
        </is>
      </c>
      <c r="Y1138" t="inlineStr">
        <is>
          <t>1991-08-13</t>
        </is>
      </c>
      <c r="Z1138" t="inlineStr">
        <is>
          <t>1991-08-13</t>
        </is>
      </c>
      <c r="AA1138" t="n">
        <v>469</v>
      </c>
      <c r="AB1138" t="n">
        <v>418</v>
      </c>
      <c r="AC1138" t="n">
        <v>425</v>
      </c>
      <c r="AD1138" t="n">
        <v>3</v>
      </c>
      <c r="AE1138" t="n">
        <v>3</v>
      </c>
      <c r="AF1138" t="n">
        <v>22</v>
      </c>
      <c r="AG1138" t="n">
        <v>22</v>
      </c>
      <c r="AH1138" t="n">
        <v>11</v>
      </c>
      <c r="AI1138" t="n">
        <v>11</v>
      </c>
      <c r="AJ1138" t="n">
        <v>5</v>
      </c>
      <c r="AK1138" t="n">
        <v>5</v>
      </c>
      <c r="AL1138" t="n">
        <v>12</v>
      </c>
      <c r="AM1138" t="n">
        <v>12</v>
      </c>
      <c r="AN1138" t="n">
        <v>2</v>
      </c>
      <c r="AO1138" t="n">
        <v>2</v>
      </c>
      <c r="AP1138" t="n">
        <v>0</v>
      </c>
      <c r="AQ1138" t="n">
        <v>0</v>
      </c>
      <c r="AR1138" t="inlineStr">
        <is>
          <t>No</t>
        </is>
      </c>
      <c r="AS1138" t="inlineStr">
        <is>
          <t>Yes</t>
        </is>
      </c>
      <c r="AT1138">
        <f>HYPERLINK("http://catalog.hathitrust.org/Record/000176537","HathiTrust Record")</f>
        <v/>
      </c>
      <c r="AU1138">
        <f>HYPERLINK("https://creighton-primo.hosted.exlibrisgroup.com/primo-explore/search?tab=default_tab&amp;search_scope=EVERYTHING&amp;vid=01CRU&amp;lang=en_US&amp;offset=0&amp;query=any,contains,991004563639702656","Catalog Record")</f>
        <v/>
      </c>
      <c r="AV1138">
        <f>HYPERLINK("http://www.worldcat.org/oclc/4003975","WorldCat Record")</f>
        <v/>
      </c>
      <c r="AW1138" t="inlineStr">
        <is>
          <t>2847531924:eng</t>
        </is>
      </c>
      <c r="AX1138" t="inlineStr">
        <is>
          <t>4003975</t>
        </is>
      </c>
      <c r="AY1138" t="inlineStr">
        <is>
          <t>991004563639702656</t>
        </is>
      </c>
      <c r="AZ1138" t="inlineStr">
        <is>
          <t>991004563639702656</t>
        </is>
      </c>
      <c r="BA1138" t="inlineStr">
        <is>
          <t>2267744940002656</t>
        </is>
      </c>
      <c r="BB1138" t="inlineStr">
        <is>
          <t>BOOK</t>
        </is>
      </c>
      <c r="BD1138" t="inlineStr">
        <is>
          <t>9780805763461</t>
        </is>
      </c>
      <c r="BE1138" t="inlineStr">
        <is>
          <t>32285000684133</t>
        </is>
      </c>
      <c r="BF1138" t="inlineStr">
        <is>
          <t>893350162</t>
        </is>
      </c>
    </row>
    <row r="1139">
      <c r="A1139" t="inlineStr">
        <is>
          <t>No</t>
        </is>
      </c>
      <c r="B1139" t="inlineStr">
        <is>
          <t>CURAL</t>
        </is>
      </c>
      <c r="C1139" t="inlineStr">
        <is>
          <t>SHELVES</t>
        </is>
      </c>
      <c r="D1139" t="inlineStr">
        <is>
          <t>PQ8180.1.R137 R57 2003</t>
        </is>
      </c>
      <c r="E1139" t="inlineStr">
        <is>
          <t>0                      PQ 8180100R  137                R  57          2003</t>
        </is>
      </c>
      <c r="F1139" t="inlineStr">
        <is>
          <t>La risa del muerto / Gustavo Arango.</t>
        </is>
      </c>
      <c r="H1139" t="inlineStr">
        <is>
          <t>No</t>
        </is>
      </c>
      <c r="I1139" t="inlineStr">
        <is>
          <t>1</t>
        </is>
      </c>
      <c r="J1139" t="inlineStr">
        <is>
          <t>No</t>
        </is>
      </c>
      <c r="K1139" t="inlineStr">
        <is>
          <t>No</t>
        </is>
      </c>
      <c r="L1139" t="inlineStr">
        <is>
          <t>0</t>
        </is>
      </c>
      <c r="M1139" t="inlineStr">
        <is>
          <t>Arango, Gustavo, 1964-</t>
        </is>
      </c>
      <c r="N1139" t="inlineStr">
        <is>
          <t>Santo Domingo, República Dominicana : Editora Nacional, c2003.</t>
        </is>
      </c>
      <c r="O1139" t="inlineStr">
        <is>
          <t>2003</t>
        </is>
      </c>
      <c r="Q1139" t="inlineStr">
        <is>
          <t>spa</t>
        </is>
      </c>
      <c r="R1139" t="inlineStr">
        <is>
          <t xml:space="preserve">dr </t>
        </is>
      </c>
      <c r="S1139" t="inlineStr">
        <is>
          <t>Colección Literaria los premios</t>
        </is>
      </c>
      <c r="T1139" t="inlineStr">
        <is>
          <t xml:space="preserve">PQ </t>
        </is>
      </c>
      <c r="U1139" t="n">
        <v>1</v>
      </c>
      <c r="V1139" t="n">
        <v>1</v>
      </c>
      <c r="W1139" t="inlineStr">
        <is>
          <t>2004-02-04</t>
        </is>
      </c>
      <c r="X1139" t="inlineStr">
        <is>
          <t>2004-02-04</t>
        </is>
      </c>
      <c r="Y1139" t="inlineStr">
        <is>
          <t>2004-02-04</t>
        </is>
      </c>
      <c r="Z1139" t="inlineStr">
        <is>
          <t>2004-02-04</t>
        </is>
      </c>
      <c r="AA1139" t="n">
        <v>41</v>
      </c>
      <c r="AB1139" t="n">
        <v>38</v>
      </c>
      <c r="AC1139" t="n">
        <v>40</v>
      </c>
      <c r="AD1139" t="n">
        <v>1</v>
      </c>
      <c r="AE1139" t="n">
        <v>1</v>
      </c>
      <c r="AF1139" t="n">
        <v>1</v>
      </c>
      <c r="AG1139" t="n">
        <v>1</v>
      </c>
      <c r="AH1139" t="n">
        <v>0</v>
      </c>
      <c r="AI1139" t="n">
        <v>0</v>
      </c>
      <c r="AJ1139" t="n">
        <v>0</v>
      </c>
      <c r="AK1139" t="n">
        <v>0</v>
      </c>
      <c r="AL1139" t="n">
        <v>1</v>
      </c>
      <c r="AM1139" t="n">
        <v>1</v>
      </c>
      <c r="AN1139" t="n">
        <v>0</v>
      </c>
      <c r="AO1139" t="n">
        <v>0</v>
      </c>
      <c r="AP1139" t="n">
        <v>0</v>
      </c>
      <c r="AQ1139" t="n">
        <v>0</v>
      </c>
      <c r="AR1139" t="inlineStr">
        <is>
          <t>No</t>
        </is>
      </c>
      <c r="AS1139" t="inlineStr">
        <is>
          <t>Yes</t>
        </is>
      </c>
      <c r="AT1139">
        <f>HYPERLINK("http://catalog.hathitrust.org/Record/101202960","HathiTrust Record")</f>
        <v/>
      </c>
      <c r="AU1139">
        <f>HYPERLINK("https://creighton-primo.hosted.exlibrisgroup.com/primo-explore/search?tab=default_tab&amp;search_scope=EVERYTHING&amp;vid=01CRU&amp;lang=en_US&amp;offset=0&amp;query=any,contains,991004209449702656","Catalog Record")</f>
        <v/>
      </c>
      <c r="AV1139">
        <f>HYPERLINK("http://www.worldcat.org/oclc/54047879","WorldCat Record")</f>
        <v/>
      </c>
      <c r="AW1139" t="inlineStr">
        <is>
          <t>351655670:spa</t>
        </is>
      </c>
      <c r="AX1139" t="inlineStr">
        <is>
          <t>54047879</t>
        </is>
      </c>
      <c r="AY1139" t="inlineStr">
        <is>
          <t>991004209449702656</t>
        </is>
      </c>
      <c r="AZ1139" t="inlineStr">
        <is>
          <t>991004209449702656</t>
        </is>
      </c>
      <c r="BA1139" t="inlineStr">
        <is>
          <t>2257682320002656</t>
        </is>
      </c>
      <c r="BB1139" t="inlineStr">
        <is>
          <t>BOOK</t>
        </is>
      </c>
      <c r="BD1139" t="inlineStr">
        <is>
          <t>9789993486749</t>
        </is>
      </c>
      <c r="BE1139" t="inlineStr">
        <is>
          <t>32285004637657</t>
        </is>
      </c>
      <c r="BF1139" t="inlineStr">
        <is>
          <t>893775769</t>
        </is>
      </c>
    </row>
    <row r="1140">
      <c r="A1140" t="inlineStr">
        <is>
          <t>No</t>
        </is>
      </c>
      <c r="B1140" t="inlineStr">
        <is>
          <t>CURAL</t>
        </is>
      </c>
      <c r="C1140" t="inlineStr">
        <is>
          <t>SHELVES</t>
        </is>
      </c>
      <c r="D1140" t="inlineStr">
        <is>
          <t>PQ8180.1.T5 O5 1979</t>
        </is>
      </c>
      <c r="E1140" t="inlineStr">
        <is>
          <t>0                      PQ 8180100T  5                  O  5           1979</t>
        </is>
      </c>
      <c r="F1140" t="inlineStr">
        <is>
          <t>Onírodas : libro I, II, III, IV / Andrés Athilano.</t>
        </is>
      </c>
      <c r="H1140" t="inlineStr">
        <is>
          <t>No</t>
        </is>
      </c>
      <c r="I1140" t="inlineStr">
        <is>
          <t>1</t>
        </is>
      </c>
      <c r="J1140" t="inlineStr">
        <is>
          <t>No</t>
        </is>
      </c>
      <c r="K1140" t="inlineStr">
        <is>
          <t>No</t>
        </is>
      </c>
      <c r="L1140" t="inlineStr">
        <is>
          <t>0</t>
        </is>
      </c>
      <c r="M1140" t="inlineStr">
        <is>
          <t>Athilano, Andrés.</t>
        </is>
      </c>
      <c r="N1140" t="inlineStr">
        <is>
          <t>Cúcuta : [s.n.], 1979</t>
        </is>
      </c>
      <c r="O1140" t="inlineStr">
        <is>
          <t>1979</t>
        </is>
      </c>
      <c r="Q1140" t="inlineStr">
        <is>
          <t>spa</t>
        </is>
      </c>
      <c r="R1140" t="inlineStr">
        <is>
          <t xml:space="preserve">ck </t>
        </is>
      </c>
      <c r="T1140" t="inlineStr">
        <is>
          <t xml:space="preserve">PQ </t>
        </is>
      </c>
      <c r="U1140" t="n">
        <v>1</v>
      </c>
      <c r="V1140" t="n">
        <v>1</v>
      </c>
      <c r="W1140" t="inlineStr">
        <is>
          <t>2001-11-15</t>
        </is>
      </c>
      <c r="X1140" t="inlineStr">
        <is>
          <t>2001-11-15</t>
        </is>
      </c>
      <c r="Y1140" t="inlineStr">
        <is>
          <t>2001-11-14</t>
        </is>
      </c>
      <c r="Z1140" t="inlineStr">
        <is>
          <t>2001-11-14</t>
        </is>
      </c>
      <c r="AA1140" t="n">
        <v>7</v>
      </c>
      <c r="AB1140" t="n">
        <v>6</v>
      </c>
      <c r="AC1140" t="n">
        <v>8</v>
      </c>
      <c r="AD1140" t="n">
        <v>1</v>
      </c>
      <c r="AE1140" t="n">
        <v>1</v>
      </c>
      <c r="AF1140" t="n">
        <v>0</v>
      </c>
      <c r="AG1140" t="n">
        <v>0</v>
      </c>
      <c r="AH1140" t="n">
        <v>0</v>
      </c>
      <c r="AI1140" t="n">
        <v>0</v>
      </c>
      <c r="AJ1140" t="n">
        <v>0</v>
      </c>
      <c r="AK1140" t="n">
        <v>0</v>
      </c>
      <c r="AL1140" t="n">
        <v>0</v>
      </c>
      <c r="AM1140" t="n">
        <v>0</v>
      </c>
      <c r="AN1140" t="n">
        <v>0</v>
      </c>
      <c r="AO1140" t="n">
        <v>0</v>
      </c>
      <c r="AP1140" t="n">
        <v>0</v>
      </c>
      <c r="AQ1140" t="n">
        <v>0</v>
      </c>
      <c r="AR1140" t="inlineStr">
        <is>
          <t>No</t>
        </is>
      </c>
      <c r="AS1140" t="inlineStr">
        <is>
          <t>Yes</t>
        </is>
      </c>
      <c r="AT1140">
        <f>HYPERLINK("http://catalog.hathitrust.org/Record/006716020","HathiTrust Record")</f>
        <v/>
      </c>
      <c r="AU1140">
        <f>HYPERLINK("https://creighton-primo.hosted.exlibrisgroup.com/primo-explore/search?tab=default_tab&amp;search_scope=EVERYTHING&amp;vid=01CRU&amp;lang=en_US&amp;offset=0&amp;query=any,contains,991003679259702656","Catalog Record")</f>
        <v/>
      </c>
      <c r="AV1140">
        <f>HYPERLINK("http://www.worldcat.org/oclc/7957105","WorldCat Record")</f>
        <v/>
      </c>
      <c r="AW1140" t="inlineStr">
        <is>
          <t>234403957:spa</t>
        </is>
      </c>
      <c r="AX1140" t="inlineStr">
        <is>
          <t>7957105</t>
        </is>
      </c>
      <c r="AY1140" t="inlineStr">
        <is>
          <t>991003679259702656</t>
        </is>
      </c>
      <c r="AZ1140" t="inlineStr">
        <is>
          <t>991003679259702656</t>
        </is>
      </c>
      <c r="BA1140" t="inlineStr">
        <is>
          <t>2269392040002656</t>
        </is>
      </c>
      <c r="BB1140" t="inlineStr">
        <is>
          <t>BOOK</t>
        </is>
      </c>
      <c r="BE1140" t="inlineStr">
        <is>
          <t>32285004411533</t>
        </is>
      </c>
      <c r="BF1140" t="inlineStr">
        <is>
          <t>893240468</t>
        </is>
      </c>
    </row>
    <row r="1141">
      <c r="A1141" t="inlineStr">
        <is>
          <t>No</t>
        </is>
      </c>
      <c r="B1141" t="inlineStr">
        <is>
          <t>CURAL</t>
        </is>
      </c>
      <c r="C1141" t="inlineStr">
        <is>
          <t>SHELVES</t>
        </is>
      </c>
      <c r="D1141" t="inlineStr">
        <is>
          <t>PQ8180.13.A88 V54 1973</t>
        </is>
      </c>
      <c r="E1141" t="inlineStr">
        <is>
          <t>0                      PQ 8180130A  88                 V  54          1973</t>
        </is>
      </c>
      <c r="F1141" t="inlineStr">
        <is>
          <t>Un viernes así : relatos / Marina Castro.</t>
        </is>
      </c>
      <c r="H1141" t="inlineStr">
        <is>
          <t>No</t>
        </is>
      </c>
      <c r="I1141" t="inlineStr">
        <is>
          <t>1</t>
        </is>
      </c>
      <c r="J1141" t="inlineStr">
        <is>
          <t>No</t>
        </is>
      </c>
      <c r="K1141" t="inlineStr">
        <is>
          <t>No</t>
        </is>
      </c>
      <c r="L1141" t="inlineStr">
        <is>
          <t>0</t>
        </is>
      </c>
      <c r="M1141" t="inlineStr">
        <is>
          <t>Castro, Marina, 1939-</t>
        </is>
      </c>
      <c r="N1141" t="inlineStr">
        <is>
          <t>Caracas : Monte Avila, [1973].</t>
        </is>
      </c>
      <c r="O1141" t="inlineStr">
        <is>
          <t>1973</t>
        </is>
      </c>
      <c r="Q1141" t="inlineStr">
        <is>
          <t>spa</t>
        </is>
      </c>
      <c r="R1141" t="inlineStr">
        <is>
          <t xml:space="preserve">ve </t>
        </is>
      </c>
      <c r="S1141" t="inlineStr">
        <is>
          <t>Colección Donaire</t>
        </is>
      </c>
      <c r="T1141" t="inlineStr">
        <is>
          <t xml:space="preserve">PQ </t>
        </is>
      </c>
      <c r="U1141" t="n">
        <v>1</v>
      </c>
      <c r="V1141" t="n">
        <v>1</v>
      </c>
      <c r="W1141" t="inlineStr">
        <is>
          <t>2002-08-20</t>
        </is>
      </c>
      <c r="X1141" t="inlineStr">
        <is>
          <t>2002-08-20</t>
        </is>
      </c>
      <c r="Y1141" t="inlineStr">
        <is>
          <t>2002-08-13</t>
        </is>
      </c>
      <c r="Z1141" t="inlineStr">
        <is>
          <t>2002-08-13</t>
        </is>
      </c>
      <c r="AA1141" t="n">
        <v>20</v>
      </c>
      <c r="AB1141" t="n">
        <v>17</v>
      </c>
      <c r="AC1141" t="n">
        <v>18</v>
      </c>
      <c r="AD1141" t="n">
        <v>2</v>
      </c>
      <c r="AE1141" t="n">
        <v>2</v>
      </c>
      <c r="AF1141" t="n">
        <v>1</v>
      </c>
      <c r="AG1141" t="n">
        <v>1</v>
      </c>
      <c r="AH1141" t="n">
        <v>0</v>
      </c>
      <c r="AI1141" t="n">
        <v>0</v>
      </c>
      <c r="AJ1141" t="n">
        <v>0</v>
      </c>
      <c r="AK1141" t="n">
        <v>0</v>
      </c>
      <c r="AL1141" t="n">
        <v>0</v>
      </c>
      <c r="AM1141" t="n">
        <v>0</v>
      </c>
      <c r="AN1141" t="n">
        <v>1</v>
      </c>
      <c r="AO1141" t="n">
        <v>1</v>
      </c>
      <c r="AP1141" t="n">
        <v>0</v>
      </c>
      <c r="AQ1141" t="n">
        <v>0</v>
      </c>
      <c r="AR1141" t="inlineStr">
        <is>
          <t>No</t>
        </is>
      </c>
      <c r="AS1141" t="inlineStr">
        <is>
          <t>Yes</t>
        </is>
      </c>
      <c r="AT1141">
        <f>HYPERLINK("http://catalog.hathitrust.org/Record/101203325","HathiTrust Record")</f>
        <v/>
      </c>
      <c r="AU1141">
        <f>HYPERLINK("https://creighton-primo.hosted.exlibrisgroup.com/primo-explore/search?tab=default_tab&amp;search_scope=EVERYTHING&amp;vid=01CRU&amp;lang=en_US&amp;offset=0&amp;query=any,contains,991003858029702656","Catalog Record")</f>
        <v/>
      </c>
      <c r="AV1141">
        <f>HYPERLINK("http://www.worldcat.org/oclc/1725746","WorldCat Record")</f>
        <v/>
      </c>
      <c r="AW1141" t="inlineStr">
        <is>
          <t>366208390:spa</t>
        </is>
      </c>
      <c r="AX1141" t="inlineStr">
        <is>
          <t>1725746</t>
        </is>
      </c>
      <c r="AY1141" t="inlineStr">
        <is>
          <t>991003858029702656</t>
        </is>
      </c>
      <c r="AZ1141" t="inlineStr">
        <is>
          <t>991003858029702656</t>
        </is>
      </c>
      <c r="BA1141" t="inlineStr">
        <is>
          <t>2269863340002656</t>
        </is>
      </c>
      <c r="BB1141" t="inlineStr">
        <is>
          <t>BOOK</t>
        </is>
      </c>
      <c r="BE1141" t="inlineStr">
        <is>
          <t>32285004630561</t>
        </is>
      </c>
      <c r="BF1141" t="inlineStr">
        <is>
          <t>893318492</t>
        </is>
      </c>
    </row>
    <row r="1142">
      <c r="A1142" t="inlineStr">
        <is>
          <t>No</t>
        </is>
      </c>
      <c r="B1142" t="inlineStr">
        <is>
          <t>CURAL</t>
        </is>
      </c>
      <c r="C1142" t="inlineStr">
        <is>
          <t>SHELVES</t>
        </is>
      </c>
      <c r="D1142" t="inlineStr">
        <is>
          <t>PQ8180.13.E625 C7 1979</t>
        </is>
      </c>
      <c r="E1142" t="inlineStr">
        <is>
          <t>0                      PQ 8180130E  625                C  7           1979</t>
        </is>
      </c>
      <c r="F1142" t="inlineStr">
        <is>
          <t>Credo : poemas / Gloria Cepeda Vargas.</t>
        </is>
      </c>
      <c r="H1142" t="inlineStr">
        <is>
          <t>No</t>
        </is>
      </c>
      <c r="I1142" t="inlineStr">
        <is>
          <t>1</t>
        </is>
      </c>
      <c r="J1142" t="inlineStr">
        <is>
          <t>No</t>
        </is>
      </c>
      <c r="K1142" t="inlineStr">
        <is>
          <t>No</t>
        </is>
      </c>
      <c r="L1142" t="inlineStr">
        <is>
          <t>0</t>
        </is>
      </c>
      <c r="M1142" t="inlineStr">
        <is>
          <t>Cepeda Vargas, Gloria.</t>
        </is>
      </c>
      <c r="N1142" t="inlineStr">
        <is>
          <t>[Caracas : Cepeda Vargas, 1979]</t>
        </is>
      </c>
      <c r="O1142" t="inlineStr">
        <is>
          <t>1979</t>
        </is>
      </c>
      <c r="Q1142" t="inlineStr">
        <is>
          <t>spa</t>
        </is>
      </c>
      <c r="R1142" t="inlineStr">
        <is>
          <t xml:space="preserve">ve </t>
        </is>
      </c>
      <c r="T1142" t="inlineStr">
        <is>
          <t xml:space="preserve">PQ </t>
        </is>
      </c>
      <c r="U1142" t="n">
        <v>1</v>
      </c>
      <c r="V1142" t="n">
        <v>1</v>
      </c>
      <c r="W1142" t="inlineStr">
        <is>
          <t>2003-05-06</t>
        </is>
      </c>
      <c r="X1142" t="inlineStr">
        <is>
          <t>2003-05-06</t>
        </is>
      </c>
      <c r="Y1142" t="inlineStr">
        <is>
          <t>2003-05-06</t>
        </is>
      </c>
      <c r="Z1142" t="inlineStr">
        <is>
          <t>2003-05-06</t>
        </is>
      </c>
      <c r="AA1142" t="n">
        <v>4</v>
      </c>
      <c r="AB1142" t="n">
        <v>4</v>
      </c>
      <c r="AC1142" t="n">
        <v>5</v>
      </c>
      <c r="AD1142" t="n">
        <v>1</v>
      </c>
      <c r="AE1142" t="n">
        <v>1</v>
      </c>
      <c r="AF1142" t="n">
        <v>0</v>
      </c>
      <c r="AG1142" t="n">
        <v>0</v>
      </c>
      <c r="AH1142" t="n">
        <v>0</v>
      </c>
      <c r="AI1142" t="n">
        <v>0</v>
      </c>
      <c r="AJ1142" t="n">
        <v>0</v>
      </c>
      <c r="AK1142" t="n">
        <v>0</v>
      </c>
      <c r="AL1142" t="n">
        <v>0</v>
      </c>
      <c r="AM1142" t="n">
        <v>0</v>
      </c>
      <c r="AN1142" t="n">
        <v>0</v>
      </c>
      <c r="AO1142" t="n">
        <v>0</v>
      </c>
      <c r="AP1142" t="n">
        <v>0</v>
      </c>
      <c r="AQ1142" t="n">
        <v>0</v>
      </c>
      <c r="AR1142" t="inlineStr">
        <is>
          <t>No</t>
        </is>
      </c>
      <c r="AS1142" t="inlineStr">
        <is>
          <t>Yes</t>
        </is>
      </c>
      <c r="AT1142">
        <f>HYPERLINK("http://catalog.hathitrust.org/Record/007876449","HathiTrust Record")</f>
        <v/>
      </c>
      <c r="AU1142">
        <f>HYPERLINK("https://creighton-primo.hosted.exlibrisgroup.com/primo-explore/search?tab=default_tab&amp;search_scope=EVERYTHING&amp;vid=01CRU&amp;lang=en_US&amp;offset=0&amp;query=any,contains,991004046259702656","Catalog Record")</f>
        <v/>
      </c>
      <c r="AV1142">
        <f>HYPERLINK("http://www.worldcat.org/oclc/21707330","WorldCat Record")</f>
        <v/>
      </c>
      <c r="AW1142" t="inlineStr">
        <is>
          <t>22941248:spa</t>
        </is>
      </c>
      <c r="AX1142" t="inlineStr">
        <is>
          <t>21707330</t>
        </is>
      </c>
      <c r="AY1142" t="inlineStr">
        <is>
          <t>991004046259702656</t>
        </is>
      </c>
      <c r="AZ1142" t="inlineStr">
        <is>
          <t>991004046259702656</t>
        </is>
      </c>
      <c r="BA1142" t="inlineStr">
        <is>
          <t>2267028070002656</t>
        </is>
      </c>
      <c r="BB1142" t="inlineStr">
        <is>
          <t>BOOK</t>
        </is>
      </c>
      <c r="BE1142" t="inlineStr">
        <is>
          <t>32285004632211</t>
        </is>
      </c>
      <c r="BF1142" t="inlineStr">
        <is>
          <t>893506302</t>
        </is>
      </c>
    </row>
    <row r="1143">
      <c r="A1143" t="inlineStr">
        <is>
          <t>No</t>
        </is>
      </c>
      <c r="B1143" t="inlineStr">
        <is>
          <t>CURAL</t>
        </is>
      </c>
      <c r="C1143" t="inlineStr">
        <is>
          <t>SHELVES</t>
        </is>
      </c>
      <c r="D1143" t="inlineStr">
        <is>
          <t>PQ8180.15.S36 N33 1991</t>
        </is>
      </c>
      <c r="E1143" t="inlineStr">
        <is>
          <t>0                      PQ 8180150S  36                 N  33          1991</t>
        </is>
      </c>
      <c r="F1143" t="inlineStr">
        <is>
          <t>Nadaísmo crónico y demás epidemias / Eduardo Escobar.</t>
        </is>
      </c>
      <c r="H1143" t="inlineStr">
        <is>
          <t>No</t>
        </is>
      </c>
      <c r="I1143" t="inlineStr">
        <is>
          <t>1</t>
        </is>
      </c>
      <c r="J1143" t="inlineStr">
        <is>
          <t>No</t>
        </is>
      </c>
      <c r="K1143" t="inlineStr">
        <is>
          <t>No</t>
        </is>
      </c>
      <c r="L1143" t="inlineStr">
        <is>
          <t>0</t>
        </is>
      </c>
      <c r="M1143" t="inlineStr">
        <is>
          <t>Escobar, Eduardo, 1943-</t>
        </is>
      </c>
      <c r="N1143" t="inlineStr">
        <is>
          <t>Santa Fé de Bogotá, Colombia : Arango Editores, 1991.</t>
        </is>
      </c>
      <c r="O1143" t="inlineStr">
        <is>
          <t>1991</t>
        </is>
      </c>
      <c r="P1143" t="inlineStr">
        <is>
          <t>1. ed.</t>
        </is>
      </c>
      <c r="Q1143" t="inlineStr">
        <is>
          <t>spa</t>
        </is>
      </c>
      <c r="R1143" t="inlineStr">
        <is>
          <t xml:space="preserve">ck </t>
        </is>
      </c>
      <c r="S1143" t="inlineStr">
        <is>
          <t>Testimonio</t>
        </is>
      </c>
      <c r="T1143" t="inlineStr">
        <is>
          <t xml:space="preserve">PQ </t>
        </is>
      </c>
      <c r="U1143" t="n">
        <v>1</v>
      </c>
      <c r="V1143" t="n">
        <v>1</v>
      </c>
      <c r="W1143" t="inlineStr">
        <is>
          <t>2002-07-29</t>
        </is>
      </c>
      <c r="X1143" t="inlineStr">
        <is>
          <t>2002-07-29</t>
        </is>
      </c>
      <c r="Y1143" t="inlineStr">
        <is>
          <t>2002-07-29</t>
        </is>
      </c>
      <c r="Z1143" t="inlineStr">
        <is>
          <t>2002-07-29</t>
        </is>
      </c>
      <c r="AA1143" t="n">
        <v>38</v>
      </c>
      <c r="AB1143" t="n">
        <v>36</v>
      </c>
      <c r="AC1143" t="n">
        <v>38</v>
      </c>
      <c r="AD1143" t="n">
        <v>1</v>
      </c>
      <c r="AE1143" t="n">
        <v>1</v>
      </c>
      <c r="AF1143" t="n">
        <v>1</v>
      </c>
      <c r="AG1143" t="n">
        <v>1</v>
      </c>
      <c r="AH1143" t="n">
        <v>0</v>
      </c>
      <c r="AI1143" t="n">
        <v>0</v>
      </c>
      <c r="AJ1143" t="n">
        <v>0</v>
      </c>
      <c r="AK1143" t="n">
        <v>0</v>
      </c>
      <c r="AL1143" t="n">
        <v>1</v>
      </c>
      <c r="AM1143" t="n">
        <v>1</v>
      </c>
      <c r="AN1143" t="n">
        <v>0</v>
      </c>
      <c r="AO1143" t="n">
        <v>0</v>
      </c>
      <c r="AP1143" t="n">
        <v>0</v>
      </c>
      <c r="AQ1143" t="n">
        <v>0</v>
      </c>
      <c r="AR1143" t="inlineStr">
        <is>
          <t>No</t>
        </is>
      </c>
      <c r="AS1143" t="inlineStr">
        <is>
          <t>Yes</t>
        </is>
      </c>
      <c r="AT1143">
        <f>HYPERLINK("http://catalog.hathitrust.org/Record/101203550","HathiTrust Record")</f>
        <v/>
      </c>
      <c r="AU1143">
        <f>HYPERLINK("https://creighton-primo.hosted.exlibrisgroup.com/primo-explore/search?tab=default_tab&amp;search_scope=EVERYTHING&amp;vid=01CRU&amp;lang=en_US&amp;offset=0&amp;query=any,contains,991003845949702656","Catalog Record")</f>
        <v/>
      </c>
      <c r="AV1143">
        <f>HYPERLINK("http://www.worldcat.org/oclc/30671361","WorldCat Record")</f>
        <v/>
      </c>
      <c r="AW1143" t="inlineStr">
        <is>
          <t>32823357:spa</t>
        </is>
      </c>
      <c r="AX1143" t="inlineStr">
        <is>
          <t>30671361</t>
        </is>
      </c>
      <c r="AY1143" t="inlineStr">
        <is>
          <t>991003845949702656</t>
        </is>
      </c>
      <c r="AZ1143" t="inlineStr">
        <is>
          <t>991003845949702656</t>
        </is>
      </c>
      <c r="BA1143" t="inlineStr">
        <is>
          <t>2263212050002656</t>
        </is>
      </c>
      <c r="BB1143" t="inlineStr">
        <is>
          <t>BOOK</t>
        </is>
      </c>
      <c r="BD1143" t="inlineStr">
        <is>
          <t>9789582709013</t>
        </is>
      </c>
      <c r="BE1143" t="inlineStr">
        <is>
          <t>32285004499728</t>
        </is>
      </c>
      <c r="BF1143" t="inlineStr">
        <is>
          <t>893518926</t>
        </is>
      </c>
    </row>
    <row r="1144">
      <c r="A1144" t="inlineStr">
        <is>
          <t>No</t>
        </is>
      </c>
      <c r="B1144" t="inlineStr">
        <is>
          <t>CURAL</t>
        </is>
      </c>
      <c r="C1144" t="inlineStr">
        <is>
          <t>SHELVES</t>
        </is>
      </c>
      <c r="D1144" t="inlineStr">
        <is>
          <t>PQ8180.17.A73 C5345 1974</t>
        </is>
      </c>
      <c r="E1144" t="inlineStr">
        <is>
          <t>0                      PQ 8180170A  73                 C  5345        1974</t>
        </is>
      </c>
      <c r="F1144" t="inlineStr">
        <is>
          <t>Cien años de soledad : una interpretación / Josefina Ludmer.</t>
        </is>
      </c>
      <c r="H1144" t="inlineStr">
        <is>
          <t>No</t>
        </is>
      </c>
      <c r="I1144" t="inlineStr">
        <is>
          <t>1</t>
        </is>
      </c>
      <c r="J1144" t="inlineStr">
        <is>
          <t>No</t>
        </is>
      </c>
      <c r="K1144" t="inlineStr">
        <is>
          <t>No</t>
        </is>
      </c>
      <c r="L1144" t="inlineStr">
        <is>
          <t>0</t>
        </is>
      </c>
      <c r="M1144" t="inlineStr">
        <is>
          <t>Ludmer, Josefina.</t>
        </is>
      </c>
      <c r="N1144" t="inlineStr">
        <is>
          <t>Buenos Aires : Editorial Tiempo Contemporáneo, [1974]</t>
        </is>
      </c>
      <c r="O1144" t="inlineStr">
        <is>
          <t>1974</t>
        </is>
      </c>
      <c r="P1144" t="inlineStr">
        <is>
          <t>[2. ed.]</t>
        </is>
      </c>
      <c r="Q1144" t="inlineStr">
        <is>
          <t>spa</t>
        </is>
      </c>
      <c r="R1144" t="inlineStr">
        <is>
          <t xml:space="preserve">ag </t>
        </is>
      </c>
      <c r="S1144" t="inlineStr">
        <is>
          <t>Trabajo crítico</t>
        </is>
      </c>
      <c r="T1144" t="inlineStr">
        <is>
          <t xml:space="preserve">PQ </t>
        </is>
      </c>
      <c r="U1144" t="n">
        <v>1</v>
      </c>
      <c r="V1144" t="n">
        <v>1</v>
      </c>
      <c r="W1144" t="inlineStr">
        <is>
          <t>2002-04-03</t>
        </is>
      </c>
      <c r="X1144" t="inlineStr">
        <is>
          <t>2002-04-03</t>
        </is>
      </c>
      <c r="Y1144" t="inlineStr">
        <is>
          <t>2002-03-05</t>
        </is>
      </c>
      <c r="Z1144" t="inlineStr">
        <is>
          <t>2002-03-05</t>
        </is>
      </c>
      <c r="AA1144" t="n">
        <v>58</v>
      </c>
      <c r="AB1144" t="n">
        <v>47</v>
      </c>
      <c r="AC1144" t="n">
        <v>227</v>
      </c>
      <c r="AD1144" t="n">
        <v>1</v>
      </c>
      <c r="AE1144" t="n">
        <v>3</v>
      </c>
      <c r="AF1144" t="n">
        <v>3</v>
      </c>
      <c r="AG1144" t="n">
        <v>10</v>
      </c>
      <c r="AH1144" t="n">
        <v>1</v>
      </c>
      <c r="AI1144" t="n">
        <v>3</v>
      </c>
      <c r="AJ1144" t="n">
        <v>1</v>
      </c>
      <c r="AK1144" t="n">
        <v>4</v>
      </c>
      <c r="AL1144" t="n">
        <v>3</v>
      </c>
      <c r="AM1144" t="n">
        <v>4</v>
      </c>
      <c r="AN1144" t="n">
        <v>0</v>
      </c>
      <c r="AO1144" t="n">
        <v>2</v>
      </c>
      <c r="AP1144" t="n">
        <v>0</v>
      </c>
      <c r="AQ1144" t="n">
        <v>0</v>
      </c>
      <c r="AR1144" t="inlineStr">
        <is>
          <t>No</t>
        </is>
      </c>
      <c r="AS1144" t="inlineStr">
        <is>
          <t>Yes</t>
        </is>
      </c>
      <c r="AT1144">
        <f>HYPERLINK("http://catalog.hathitrust.org/Record/101203755","HathiTrust Record")</f>
        <v/>
      </c>
      <c r="AU1144">
        <f>HYPERLINK("https://creighton-primo.hosted.exlibrisgroup.com/primo-explore/search?tab=default_tab&amp;search_scope=EVERYTHING&amp;vid=01CRU&amp;lang=en_US&amp;offset=0&amp;query=any,contains,991003757799702656","Catalog Record")</f>
        <v/>
      </c>
      <c r="AV1144">
        <f>HYPERLINK("http://www.worldcat.org/oclc/1679210","WorldCat Record")</f>
        <v/>
      </c>
      <c r="AW1144" t="inlineStr">
        <is>
          <t>2520257:spa</t>
        </is>
      </c>
      <c r="AX1144" t="inlineStr">
        <is>
          <t>1679210</t>
        </is>
      </c>
      <c r="AY1144" t="inlineStr">
        <is>
          <t>991003757799702656</t>
        </is>
      </c>
      <c r="AZ1144" t="inlineStr">
        <is>
          <t>991003757799702656</t>
        </is>
      </c>
      <c r="BA1144" t="inlineStr">
        <is>
          <t>2270123960002656</t>
        </is>
      </c>
      <c r="BB1144" t="inlineStr">
        <is>
          <t>BOOK</t>
        </is>
      </c>
      <c r="BE1144" t="inlineStr">
        <is>
          <t>32285004459607</t>
        </is>
      </c>
      <c r="BF1144" t="inlineStr">
        <is>
          <t>893787736</t>
        </is>
      </c>
    </row>
    <row r="1145">
      <c r="A1145" t="inlineStr">
        <is>
          <t>No</t>
        </is>
      </c>
      <c r="B1145" t="inlineStr">
        <is>
          <t>CURAL</t>
        </is>
      </c>
      <c r="C1145" t="inlineStr">
        <is>
          <t>SHELVES</t>
        </is>
      </c>
      <c r="D1145" t="inlineStr">
        <is>
          <t>PQ8180.17.A73 Z57</t>
        </is>
      </c>
      <c r="E1145" t="inlineStr">
        <is>
          <t>0                      PQ 8180170A  73                 Z  57</t>
        </is>
      </c>
      <c r="F1145" t="inlineStr">
        <is>
          <t>El mundo mítico de Gabriel García Márquez.</t>
        </is>
      </c>
      <c r="H1145" t="inlineStr">
        <is>
          <t>No</t>
        </is>
      </c>
      <c r="I1145" t="inlineStr">
        <is>
          <t>1</t>
        </is>
      </c>
      <c r="J1145" t="inlineStr">
        <is>
          <t>No</t>
        </is>
      </c>
      <c r="K1145" t="inlineStr">
        <is>
          <t>No</t>
        </is>
      </c>
      <c r="L1145" t="inlineStr">
        <is>
          <t>0</t>
        </is>
      </c>
      <c r="M1145" t="inlineStr">
        <is>
          <t>Arnau, Carme, 1944-</t>
        </is>
      </c>
      <c r="N1145" t="inlineStr">
        <is>
          <t>[Barcelona] : Edic. Peninsula, [1971]</t>
        </is>
      </c>
      <c r="O1145" t="inlineStr">
        <is>
          <t>1971</t>
        </is>
      </c>
      <c r="Q1145" t="inlineStr">
        <is>
          <t>spa</t>
        </is>
      </c>
      <c r="R1145" t="inlineStr">
        <is>
          <t xml:space="preserve">sp </t>
        </is>
      </c>
      <c r="S1145" t="inlineStr">
        <is>
          <t>Ediciones de bolsillo ; 136</t>
        </is>
      </c>
      <c r="T1145" t="inlineStr">
        <is>
          <t xml:space="preserve">PQ </t>
        </is>
      </c>
      <c r="U1145" t="n">
        <v>3</v>
      </c>
      <c r="V1145" t="n">
        <v>3</v>
      </c>
      <c r="W1145" t="inlineStr">
        <is>
          <t>1997-11-18</t>
        </is>
      </c>
      <c r="X1145" t="inlineStr">
        <is>
          <t>1997-11-18</t>
        </is>
      </c>
      <c r="Y1145" t="inlineStr">
        <is>
          <t>1992-06-11</t>
        </is>
      </c>
      <c r="Z1145" t="inlineStr">
        <is>
          <t>1992-06-11</t>
        </is>
      </c>
      <c r="AA1145" t="n">
        <v>205</v>
      </c>
      <c r="AB1145" t="n">
        <v>150</v>
      </c>
      <c r="AC1145" t="n">
        <v>152</v>
      </c>
      <c r="AD1145" t="n">
        <v>2</v>
      </c>
      <c r="AE1145" t="n">
        <v>2</v>
      </c>
      <c r="AF1145" t="n">
        <v>8</v>
      </c>
      <c r="AG1145" t="n">
        <v>8</v>
      </c>
      <c r="AH1145" t="n">
        <v>2</v>
      </c>
      <c r="AI1145" t="n">
        <v>2</v>
      </c>
      <c r="AJ1145" t="n">
        <v>2</v>
      </c>
      <c r="AK1145" t="n">
        <v>2</v>
      </c>
      <c r="AL1145" t="n">
        <v>5</v>
      </c>
      <c r="AM1145" t="n">
        <v>5</v>
      </c>
      <c r="AN1145" t="n">
        <v>1</v>
      </c>
      <c r="AO1145" t="n">
        <v>1</v>
      </c>
      <c r="AP1145" t="n">
        <v>0</v>
      </c>
      <c r="AQ1145" t="n">
        <v>0</v>
      </c>
      <c r="AR1145" t="inlineStr">
        <is>
          <t>No</t>
        </is>
      </c>
      <c r="AS1145" t="inlineStr">
        <is>
          <t>Yes</t>
        </is>
      </c>
      <c r="AT1145">
        <f>HYPERLINK("http://catalog.hathitrust.org/Record/001589088","HathiTrust Record")</f>
        <v/>
      </c>
      <c r="AU1145">
        <f>HYPERLINK("https://creighton-primo.hosted.exlibrisgroup.com/primo-explore/search?tab=default_tab&amp;search_scope=EVERYTHING&amp;vid=01CRU&amp;lang=en_US&amp;offset=0&amp;query=any,contains,991002183979702656","Catalog Record")</f>
        <v/>
      </c>
      <c r="AV1145">
        <f>HYPERLINK("http://www.worldcat.org/oclc/279630","WorldCat Record")</f>
        <v/>
      </c>
      <c r="AW1145" t="inlineStr">
        <is>
          <t>8908217123:spa</t>
        </is>
      </c>
      <c r="AX1145" t="inlineStr">
        <is>
          <t>279630</t>
        </is>
      </c>
      <c r="AY1145" t="inlineStr">
        <is>
          <t>991002183979702656</t>
        </is>
      </c>
      <c r="AZ1145" t="inlineStr">
        <is>
          <t>991002183979702656</t>
        </is>
      </c>
      <c r="BA1145" t="inlineStr">
        <is>
          <t>2261712970002656</t>
        </is>
      </c>
      <c r="BB1145" t="inlineStr">
        <is>
          <t>BOOK</t>
        </is>
      </c>
      <c r="BE1145" t="inlineStr">
        <is>
          <t>32285001131019</t>
        </is>
      </c>
      <c r="BF1145" t="inlineStr">
        <is>
          <t>893427297</t>
        </is>
      </c>
    </row>
    <row r="1146">
      <c r="A1146" t="inlineStr">
        <is>
          <t>No</t>
        </is>
      </c>
      <c r="B1146" t="inlineStr">
        <is>
          <t>CURAL</t>
        </is>
      </c>
      <c r="C1146" t="inlineStr">
        <is>
          <t>SHELVES</t>
        </is>
      </c>
      <c r="D1146" t="inlineStr">
        <is>
          <t>PQ8180.17.A73 Z68 1970</t>
        </is>
      </c>
      <c r="E1146" t="inlineStr">
        <is>
          <t>0                      PQ 8180170A  73                 Z  68          1970</t>
        </is>
      </c>
      <c r="F1146" t="inlineStr">
        <is>
          <t>García Márquez ; o, El olvidado arte de contar / Ricardo Gullon.</t>
        </is>
      </c>
      <c r="H1146" t="inlineStr">
        <is>
          <t>No</t>
        </is>
      </c>
      <c r="I1146" t="inlineStr">
        <is>
          <t>1</t>
        </is>
      </c>
      <c r="J1146" t="inlineStr">
        <is>
          <t>No</t>
        </is>
      </c>
      <c r="K1146" t="inlineStr">
        <is>
          <t>No</t>
        </is>
      </c>
      <c r="L1146" t="inlineStr">
        <is>
          <t>0</t>
        </is>
      </c>
      <c r="M1146" t="inlineStr">
        <is>
          <t>Gullón, Ricardo, 1908-1991.</t>
        </is>
      </c>
      <c r="N1146" t="inlineStr">
        <is>
          <t>Madrid : Taurus Ediciones, 1970.</t>
        </is>
      </c>
      <c r="O1146" t="inlineStr">
        <is>
          <t>1970</t>
        </is>
      </c>
      <c r="Q1146" t="inlineStr">
        <is>
          <t>spa</t>
        </is>
      </c>
      <c r="R1146" t="inlineStr">
        <is>
          <t xml:space="preserve">sp </t>
        </is>
      </c>
      <c r="S1146" t="inlineStr">
        <is>
          <t>Cuadernos Taurus ; 93</t>
        </is>
      </c>
      <c r="T1146" t="inlineStr">
        <is>
          <t xml:space="preserve">PQ </t>
        </is>
      </c>
      <c r="U1146" t="n">
        <v>1</v>
      </c>
      <c r="V1146" t="n">
        <v>1</v>
      </c>
      <c r="W1146" t="inlineStr">
        <is>
          <t>2005-03-23</t>
        </is>
      </c>
      <c r="X1146" t="inlineStr">
        <is>
          <t>2005-03-23</t>
        </is>
      </c>
      <c r="Y1146" t="inlineStr">
        <is>
          <t>2005-03-23</t>
        </is>
      </c>
      <c r="Z1146" t="inlineStr">
        <is>
          <t>2005-03-23</t>
        </is>
      </c>
      <c r="AA1146" t="n">
        <v>295</v>
      </c>
      <c r="AB1146" t="n">
        <v>236</v>
      </c>
      <c r="AC1146" t="n">
        <v>327</v>
      </c>
      <c r="AD1146" t="n">
        <v>2</v>
      </c>
      <c r="AE1146" t="n">
        <v>2</v>
      </c>
      <c r="AF1146" t="n">
        <v>15</v>
      </c>
      <c r="AG1146" t="n">
        <v>18</v>
      </c>
      <c r="AH1146" t="n">
        <v>5</v>
      </c>
      <c r="AI1146" t="n">
        <v>6</v>
      </c>
      <c r="AJ1146" t="n">
        <v>4</v>
      </c>
      <c r="AK1146" t="n">
        <v>4</v>
      </c>
      <c r="AL1146" t="n">
        <v>9</v>
      </c>
      <c r="AM1146" t="n">
        <v>11</v>
      </c>
      <c r="AN1146" t="n">
        <v>1</v>
      </c>
      <c r="AO1146" t="n">
        <v>1</v>
      </c>
      <c r="AP1146" t="n">
        <v>0</v>
      </c>
      <c r="AQ1146" t="n">
        <v>0</v>
      </c>
      <c r="AR1146" t="inlineStr">
        <is>
          <t>No</t>
        </is>
      </c>
      <c r="AS1146" t="inlineStr">
        <is>
          <t>Yes</t>
        </is>
      </c>
      <c r="AT1146">
        <f>HYPERLINK("http://catalog.hathitrust.org/Record/000507449","HathiTrust Record")</f>
        <v/>
      </c>
      <c r="AU1146">
        <f>HYPERLINK("https://creighton-primo.hosted.exlibrisgroup.com/primo-explore/search?tab=default_tab&amp;search_scope=EVERYTHING&amp;vid=01CRU&amp;lang=en_US&amp;offset=0&amp;query=any,contains,991004509349702656","Catalog Record")</f>
        <v/>
      </c>
      <c r="AV1146">
        <f>HYPERLINK("http://www.worldcat.org/oclc/203641","WorldCat Record")</f>
        <v/>
      </c>
      <c r="AW1146" t="inlineStr">
        <is>
          <t>1260382:spa</t>
        </is>
      </c>
      <c r="AX1146" t="inlineStr">
        <is>
          <t>203641</t>
        </is>
      </c>
      <c r="AY1146" t="inlineStr">
        <is>
          <t>991004509349702656</t>
        </is>
      </c>
      <c r="AZ1146" t="inlineStr">
        <is>
          <t>991004509349702656</t>
        </is>
      </c>
      <c r="BA1146" t="inlineStr">
        <is>
          <t>2256048600002656</t>
        </is>
      </c>
      <c r="BB1146" t="inlineStr">
        <is>
          <t>BOOK</t>
        </is>
      </c>
      <c r="BE1146" t="inlineStr">
        <is>
          <t>32285005029227</t>
        </is>
      </c>
      <c r="BF1146" t="inlineStr">
        <is>
          <t>893325457</t>
        </is>
      </c>
    </row>
    <row r="1147">
      <c r="A1147" t="inlineStr">
        <is>
          <t>No</t>
        </is>
      </c>
      <c r="B1147" t="inlineStr">
        <is>
          <t>CURAL</t>
        </is>
      </c>
      <c r="C1147" t="inlineStr">
        <is>
          <t>SHELVES</t>
        </is>
      </c>
      <c r="D1147" t="inlineStr">
        <is>
          <t>PQ8180.17.A73 Z737 2000</t>
        </is>
      </c>
      <c r="E1147" t="inlineStr">
        <is>
          <t>0                      PQ 8180170A  73                 Z  737         2000</t>
        </is>
      </c>
      <c r="F1147" t="inlineStr">
        <is>
          <t>Aquellos tiempos con Gabo / Plinio Apuleyo Mendoza.</t>
        </is>
      </c>
      <c r="H1147" t="inlineStr">
        <is>
          <t>No</t>
        </is>
      </c>
      <c r="I1147" t="inlineStr">
        <is>
          <t>1</t>
        </is>
      </c>
      <c r="J1147" t="inlineStr">
        <is>
          <t>No</t>
        </is>
      </c>
      <c r="K1147" t="inlineStr">
        <is>
          <t>No</t>
        </is>
      </c>
      <c r="L1147" t="inlineStr">
        <is>
          <t>0</t>
        </is>
      </c>
      <c r="M1147" t="inlineStr">
        <is>
          <t>Mendoza, Plinio Apuleyo.</t>
        </is>
      </c>
      <c r="N1147" t="inlineStr">
        <is>
          <t>Barcelona : Plaza &amp; Janés Editores, 2000.</t>
        </is>
      </c>
      <c r="O1147" t="inlineStr">
        <is>
          <t>2000</t>
        </is>
      </c>
      <c r="P1147" t="inlineStr">
        <is>
          <t>1. ed.</t>
        </is>
      </c>
      <c r="Q1147" t="inlineStr">
        <is>
          <t>spa</t>
        </is>
      </c>
      <c r="R1147" t="inlineStr">
        <is>
          <t xml:space="preserve">sp </t>
        </is>
      </c>
      <c r="T1147" t="inlineStr">
        <is>
          <t xml:space="preserve">PQ </t>
        </is>
      </c>
      <c r="U1147" t="n">
        <v>1</v>
      </c>
      <c r="V1147" t="n">
        <v>1</v>
      </c>
      <c r="W1147" t="inlineStr">
        <is>
          <t>2002-07-24</t>
        </is>
      </c>
      <c r="X1147" t="inlineStr">
        <is>
          <t>2002-07-24</t>
        </is>
      </c>
      <c r="Y1147" t="inlineStr">
        <is>
          <t>2002-07-17</t>
        </is>
      </c>
      <c r="Z1147" t="inlineStr">
        <is>
          <t>2002-07-17</t>
        </is>
      </c>
      <c r="AA1147" t="n">
        <v>116</v>
      </c>
      <c r="AB1147" t="n">
        <v>91</v>
      </c>
      <c r="AC1147" t="n">
        <v>178</v>
      </c>
      <c r="AD1147" t="n">
        <v>1</v>
      </c>
      <c r="AE1147" t="n">
        <v>1</v>
      </c>
      <c r="AF1147" t="n">
        <v>1</v>
      </c>
      <c r="AG1147" t="n">
        <v>1</v>
      </c>
      <c r="AH1147" t="n">
        <v>0</v>
      </c>
      <c r="AI1147" t="n">
        <v>0</v>
      </c>
      <c r="AJ1147" t="n">
        <v>0</v>
      </c>
      <c r="AK1147" t="n">
        <v>0</v>
      </c>
      <c r="AL1147" t="n">
        <v>1</v>
      </c>
      <c r="AM1147" t="n">
        <v>1</v>
      </c>
      <c r="AN1147" t="n">
        <v>0</v>
      </c>
      <c r="AO1147" t="n">
        <v>0</v>
      </c>
      <c r="AP1147" t="n">
        <v>0</v>
      </c>
      <c r="AQ1147" t="n">
        <v>0</v>
      </c>
      <c r="AR1147" t="inlineStr">
        <is>
          <t>No</t>
        </is>
      </c>
      <c r="AS1147" t="inlineStr">
        <is>
          <t>No</t>
        </is>
      </c>
      <c r="AU1147">
        <f>HYPERLINK("https://creighton-primo.hosted.exlibrisgroup.com/primo-explore/search?tab=default_tab&amp;search_scope=EVERYTHING&amp;vid=01CRU&amp;lang=en_US&amp;offset=0&amp;query=any,contains,991003835959702656","Catalog Record")</f>
        <v/>
      </c>
      <c r="AV1147">
        <f>HYPERLINK("http://www.worldcat.org/oclc/44989711","WorldCat Record")</f>
        <v/>
      </c>
      <c r="AW1147" t="inlineStr">
        <is>
          <t>12995321:spa</t>
        </is>
      </c>
      <c r="AX1147" t="inlineStr">
        <is>
          <t>44989711</t>
        </is>
      </c>
      <c r="AY1147" t="inlineStr">
        <is>
          <t>991003835959702656</t>
        </is>
      </c>
      <c r="AZ1147" t="inlineStr">
        <is>
          <t>991003835959702656</t>
        </is>
      </c>
      <c r="BA1147" t="inlineStr">
        <is>
          <t>2272113740002656</t>
        </is>
      </c>
      <c r="BB1147" t="inlineStr">
        <is>
          <t>BOOK</t>
        </is>
      </c>
      <c r="BD1147" t="inlineStr">
        <is>
          <t>9788401013256</t>
        </is>
      </c>
      <c r="BE1147" t="inlineStr">
        <is>
          <t>32285004498878</t>
        </is>
      </c>
      <c r="BF1147" t="inlineStr">
        <is>
          <t>893353060</t>
        </is>
      </c>
    </row>
    <row r="1148">
      <c r="A1148" t="inlineStr">
        <is>
          <t>No</t>
        </is>
      </c>
      <c r="B1148" t="inlineStr">
        <is>
          <t>CURAL</t>
        </is>
      </c>
      <c r="C1148" t="inlineStr">
        <is>
          <t>SHELVES</t>
        </is>
      </c>
      <c r="D1148" t="inlineStr">
        <is>
          <t>PQ8180.17.A73 Z9 1971</t>
        </is>
      </c>
      <c r="E1148" t="inlineStr">
        <is>
          <t>0                      PQ 8180170A  73                 Z  9           1971</t>
        </is>
      </c>
      <c r="F1148" t="inlineStr">
        <is>
          <t>Garcaia Maarquez : historia de un deicidio / Mario Vargas Llosa.</t>
        </is>
      </c>
      <c r="H1148" t="inlineStr">
        <is>
          <t>No</t>
        </is>
      </c>
      <c r="I1148" t="inlineStr">
        <is>
          <t>1</t>
        </is>
      </c>
      <c r="J1148" t="inlineStr">
        <is>
          <t>No</t>
        </is>
      </c>
      <c r="K1148" t="inlineStr">
        <is>
          <t>No</t>
        </is>
      </c>
      <c r="L1148" t="inlineStr">
        <is>
          <t>0</t>
        </is>
      </c>
      <c r="M1148" t="inlineStr">
        <is>
          <t>Vargas Llosa, Mario, 1936-</t>
        </is>
      </c>
      <c r="N1148" t="inlineStr">
        <is>
          <t>Barcelona : Barral Editores, 1971.</t>
        </is>
      </c>
      <c r="O1148" t="inlineStr">
        <is>
          <t>1971</t>
        </is>
      </c>
      <c r="Q1148" t="inlineStr">
        <is>
          <t>spa</t>
        </is>
      </c>
      <c r="R1148" t="inlineStr">
        <is>
          <t xml:space="preserve">sp </t>
        </is>
      </c>
      <c r="S1148" t="inlineStr">
        <is>
          <t>Breve biblioteca de respuesta ; 20</t>
        </is>
      </c>
      <c r="T1148" t="inlineStr">
        <is>
          <t xml:space="preserve">PQ </t>
        </is>
      </c>
      <c r="U1148" t="n">
        <v>1</v>
      </c>
      <c r="V1148" t="n">
        <v>1</v>
      </c>
      <c r="W1148" t="inlineStr">
        <is>
          <t>2004-08-05</t>
        </is>
      </c>
      <c r="X1148" t="inlineStr">
        <is>
          <t>2004-08-05</t>
        </is>
      </c>
      <c r="Y1148" t="inlineStr">
        <is>
          <t>2004-08-05</t>
        </is>
      </c>
      <c r="Z1148" t="inlineStr">
        <is>
          <t>2004-08-05</t>
        </is>
      </c>
      <c r="AA1148" t="n">
        <v>289</v>
      </c>
      <c r="AB1148" t="n">
        <v>231</v>
      </c>
      <c r="AC1148" t="n">
        <v>289</v>
      </c>
      <c r="AD1148" t="n">
        <v>2</v>
      </c>
      <c r="AE1148" t="n">
        <v>2</v>
      </c>
      <c r="AF1148" t="n">
        <v>6</v>
      </c>
      <c r="AG1148" t="n">
        <v>9</v>
      </c>
      <c r="AH1148" t="n">
        <v>3</v>
      </c>
      <c r="AI1148" t="n">
        <v>4</v>
      </c>
      <c r="AJ1148" t="n">
        <v>2</v>
      </c>
      <c r="AK1148" t="n">
        <v>4</v>
      </c>
      <c r="AL1148" t="n">
        <v>4</v>
      </c>
      <c r="AM1148" t="n">
        <v>5</v>
      </c>
      <c r="AN1148" t="n">
        <v>1</v>
      </c>
      <c r="AO1148" t="n">
        <v>1</v>
      </c>
      <c r="AP1148" t="n">
        <v>0</v>
      </c>
      <c r="AQ1148" t="n">
        <v>0</v>
      </c>
      <c r="AR1148" t="inlineStr">
        <is>
          <t>No</t>
        </is>
      </c>
      <c r="AS1148" t="inlineStr">
        <is>
          <t>Yes</t>
        </is>
      </c>
      <c r="AT1148">
        <f>HYPERLINK("http://catalog.hathitrust.org/Record/001051454","HathiTrust Record")</f>
        <v/>
      </c>
      <c r="AU1148">
        <f>HYPERLINK("https://creighton-primo.hosted.exlibrisgroup.com/primo-explore/search?tab=default_tab&amp;search_scope=EVERYTHING&amp;vid=01CRU&amp;lang=en_US&amp;offset=0&amp;query=any,contains,991004338589702656","Catalog Record")</f>
        <v/>
      </c>
      <c r="AV1148">
        <f>HYPERLINK("http://www.worldcat.org/oclc/1011301","WorldCat Record")</f>
        <v/>
      </c>
      <c r="AW1148" t="inlineStr">
        <is>
          <t>1932934:spa</t>
        </is>
      </c>
      <c r="AX1148" t="inlineStr">
        <is>
          <t>1011301</t>
        </is>
      </c>
      <c r="AY1148" t="inlineStr">
        <is>
          <t>991004338589702656</t>
        </is>
      </c>
      <c r="AZ1148" t="inlineStr">
        <is>
          <t>991004338589702656</t>
        </is>
      </c>
      <c r="BA1148" t="inlineStr">
        <is>
          <t>2255283780002656</t>
        </is>
      </c>
      <c r="BB1148" t="inlineStr">
        <is>
          <t>BOOK</t>
        </is>
      </c>
      <c r="BE1148" t="inlineStr">
        <is>
          <t>32285004928700</t>
        </is>
      </c>
      <c r="BF1148" t="inlineStr">
        <is>
          <t>893343715</t>
        </is>
      </c>
    </row>
    <row r="1149">
      <c r="A1149" t="inlineStr">
        <is>
          <t>No</t>
        </is>
      </c>
      <c r="B1149" t="inlineStr">
        <is>
          <t>CURAL</t>
        </is>
      </c>
      <c r="C1149" t="inlineStr">
        <is>
          <t>SHELVES</t>
        </is>
      </c>
      <c r="D1149" t="inlineStr">
        <is>
          <t>PQ8180.17.O483 H57 2006</t>
        </is>
      </c>
      <c r="E1149" t="inlineStr">
        <is>
          <t>0                      PQ 8180170O  483                H  57          2006</t>
        </is>
      </c>
      <c r="F1149" t="inlineStr">
        <is>
          <t>La historia de Horacio / Tomás González.</t>
        </is>
      </c>
      <c r="H1149" t="inlineStr">
        <is>
          <t>No</t>
        </is>
      </c>
      <c r="I1149" t="inlineStr">
        <is>
          <t>1</t>
        </is>
      </c>
      <c r="J1149" t="inlineStr">
        <is>
          <t>No</t>
        </is>
      </c>
      <c r="K1149" t="inlineStr">
        <is>
          <t>No</t>
        </is>
      </c>
      <c r="L1149" t="inlineStr">
        <is>
          <t>0</t>
        </is>
      </c>
      <c r="M1149" t="inlineStr">
        <is>
          <t>González, Tomás, 1950-</t>
        </is>
      </c>
      <c r="N1149" t="inlineStr">
        <is>
          <t>Santa Fé de Bogotá : Grupo Editorial Norma, 2006.</t>
        </is>
      </c>
      <c r="O1149" t="inlineStr">
        <is>
          <t>2006</t>
        </is>
      </c>
      <c r="P1149" t="inlineStr">
        <is>
          <t>2. ed.</t>
        </is>
      </c>
      <c r="Q1149" t="inlineStr">
        <is>
          <t>spa</t>
        </is>
      </c>
      <c r="R1149" t="inlineStr">
        <is>
          <t xml:space="preserve">ck </t>
        </is>
      </c>
      <c r="S1149" t="inlineStr">
        <is>
          <t>La otra orilla</t>
        </is>
      </c>
      <c r="T1149" t="inlineStr">
        <is>
          <t xml:space="preserve">PQ </t>
        </is>
      </c>
      <c r="U1149" t="n">
        <v>2</v>
      </c>
      <c r="V1149" t="n">
        <v>2</v>
      </c>
      <c r="W1149" t="inlineStr">
        <is>
          <t>2009-02-03</t>
        </is>
      </c>
      <c r="X1149" t="inlineStr">
        <is>
          <t>2009-02-03</t>
        </is>
      </c>
      <c r="Y1149" t="inlineStr">
        <is>
          <t>2009-02-03</t>
        </is>
      </c>
      <c r="Z1149" t="inlineStr">
        <is>
          <t>2009-02-03</t>
        </is>
      </c>
      <c r="AA1149" t="n">
        <v>7</v>
      </c>
      <c r="AB1149" t="n">
        <v>5</v>
      </c>
      <c r="AC1149" t="n">
        <v>50</v>
      </c>
      <c r="AD1149" t="n">
        <v>1</v>
      </c>
      <c r="AE1149" t="n">
        <v>1</v>
      </c>
      <c r="AF1149" t="n">
        <v>0</v>
      </c>
      <c r="AG1149" t="n">
        <v>0</v>
      </c>
      <c r="AH1149" t="n">
        <v>0</v>
      </c>
      <c r="AI1149" t="n">
        <v>0</v>
      </c>
      <c r="AJ1149" t="n">
        <v>0</v>
      </c>
      <c r="AK1149" t="n">
        <v>0</v>
      </c>
      <c r="AL1149" t="n">
        <v>0</v>
      </c>
      <c r="AM1149" t="n">
        <v>0</v>
      </c>
      <c r="AN1149" t="n">
        <v>0</v>
      </c>
      <c r="AO1149" t="n">
        <v>0</v>
      </c>
      <c r="AP1149" t="n">
        <v>0</v>
      </c>
      <c r="AQ1149" t="n">
        <v>0</v>
      </c>
      <c r="AR1149" t="inlineStr">
        <is>
          <t>No</t>
        </is>
      </c>
      <c r="AS1149" t="inlineStr">
        <is>
          <t>No</t>
        </is>
      </c>
      <c r="AU1149">
        <f>HYPERLINK("https://creighton-primo.hosted.exlibrisgroup.com/primo-explore/search?tab=default_tab&amp;search_scope=EVERYTHING&amp;vid=01CRU&amp;lang=en_US&amp;offset=0&amp;query=any,contains,991005285829702656","Catalog Record")</f>
        <v/>
      </c>
      <c r="AV1149">
        <f>HYPERLINK("http://www.worldcat.org/oclc/77514265","WorldCat Record")</f>
        <v/>
      </c>
      <c r="AW1149" t="inlineStr">
        <is>
          <t>368332654:spa</t>
        </is>
      </c>
      <c r="AX1149" t="inlineStr">
        <is>
          <t>77514265</t>
        </is>
      </c>
      <c r="AY1149" t="inlineStr">
        <is>
          <t>991005285829702656</t>
        </is>
      </c>
      <c r="AZ1149" t="inlineStr">
        <is>
          <t>991005285829702656</t>
        </is>
      </c>
      <c r="BA1149" t="inlineStr">
        <is>
          <t>2267950410002656</t>
        </is>
      </c>
      <c r="BB1149" t="inlineStr">
        <is>
          <t>BOOK</t>
        </is>
      </c>
      <c r="BD1149" t="inlineStr">
        <is>
          <t>9789580492641</t>
        </is>
      </c>
      <c r="BE1149" t="inlineStr">
        <is>
          <t>32285005501845</t>
        </is>
      </c>
      <c r="BF1149" t="inlineStr">
        <is>
          <t>893320383</t>
        </is>
      </c>
    </row>
    <row r="1150">
      <c r="A1150" t="inlineStr">
        <is>
          <t>No</t>
        </is>
      </c>
      <c r="B1150" t="inlineStr">
        <is>
          <t>CURAL</t>
        </is>
      </c>
      <c r="C1150" t="inlineStr">
        <is>
          <t>SHELVES</t>
        </is>
      </c>
      <c r="D1150" t="inlineStr">
        <is>
          <t>PQ8180.28.E7255 D45 2004</t>
        </is>
      </c>
      <c r="E1150" t="inlineStr">
        <is>
          <t>0                      PQ 8180280E  7255               D  45          2004</t>
        </is>
      </c>
      <c r="F1150" t="inlineStr">
        <is>
          <t>Delirio / Laura Restrepo.</t>
        </is>
      </c>
      <c r="H1150" t="inlineStr">
        <is>
          <t>No</t>
        </is>
      </c>
      <c r="I1150" t="inlineStr">
        <is>
          <t>1</t>
        </is>
      </c>
      <c r="J1150" t="inlineStr">
        <is>
          <t>No</t>
        </is>
      </c>
      <c r="K1150" t="inlineStr">
        <is>
          <t>No</t>
        </is>
      </c>
      <c r="L1150" t="inlineStr">
        <is>
          <t>0</t>
        </is>
      </c>
      <c r="M1150" t="inlineStr">
        <is>
          <t>Restrepo, Laura.</t>
        </is>
      </c>
      <c r="N1150" t="inlineStr">
        <is>
          <t>Bogotá, Colombia : Alfaguara, 2004.</t>
        </is>
      </c>
      <c r="O1150" t="inlineStr">
        <is>
          <t>2004</t>
        </is>
      </c>
      <c r="Q1150" t="inlineStr">
        <is>
          <t>spa</t>
        </is>
      </c>
      <c r="R1150" t="inlineStr">
        <is>
          <t xml:space="preserve">ck </t>
        </is>
      </c>
      <c r="T1150" t="inlineStr">
        <is>
          <t xml:space="preserve">PQ </t>
        </is>
      </c>
      <c r="U1150" t="n">
        <v>1</v>
      </c>
      <c r="V1150" t="n">
        <v>1</v>
      </c>
      <c r="W1150" t="inlineStr">
        <is>
          <t>2006-03-22</t>
        </is>
      </c>
      <c r="X1150" t="inlineStr">
        <is>
          <t>2006-03-22</t>
        </is>
      </c>
      <c r="Y1150" t="inlineStr">
        <is>
          <t>2006-03-08</t>
        </is>
      </c>
      <c r="Z1150" t="inlineStr">
        <is>
          <t>2006-03-08</t>
        </is>
      </c>
      <c r="AA1150" t="n">
        <v>599</v>
      </c>
      <c r="AB1150" t="n">
        <v>553</v>
      </c>
      <c r="AC1150" t="n">
        <v>835</v>
      </c>
      <c r="AD1150" t="n">
        <v>6</v>
      </c>
      <c r="AE1150" t="n">
        <v>8</v>
      </c>
      <c r="AF1150" t="n">
        <v>7</v>
      </c>
      <c r="AG1150" t="n">
        <v>14</v>
      </c>
      <c r="AH1150" t="n">
        <v>5</v>
      </c>
      <c r="AI1150" t="n">
        <v>6</v>
      </c>
      <c r="AJ1150" t="n">
        <v>2</v>
      </c>
      <c r="AK1150" t="n">
        <v>5</v>
      </c>
      <c r="AL1150" t="n">
        <v>2</v>
      </c>
      <c r="AM1150" t="n">
        <v>5</v>
      </c>
      <c r="AN1150" t="n">
        <v>0</v>
      </c>
      <c r="AO1150" t="n">
        <v>2</v>
      </c>
      <c r="AP1150" t="n">
        <v>0</v>
      </c>
      <c r="AQ1150" t="n">
        <v>0</v>
      </c>
      <c r="AR1150" t="inlineStr">
        <is>
          <t>No</t>
        </is>
      </c>
      <c r="AS1150" t="inlineStr">
        <is>
          <t>No</t>
        </is>
      </c>
      <c r="AU1150">
        <f>HYPERLINK("https://creighton-primo.hosted.exlibrisgroup.com/primo-explore/search?tab=default_tab&amp;search_scope=EVERYTHING&amp;vid=01CRU&amp;lang=en_US&amp;offset=0&amp;query=any,contains,991004762579702656","Catalog Record")</f>
        <v/>
      </c>
      <c r="AV1150">
        <f>HYPERLINK("http://www.worldcat.org/oclc/55627716","WorldCat Record")</f>
        <v/>
      </c>
      <c r="AW1150" t="inlineStr">
        <is>
          <t>4918724862:spa</t>
        </is>
      </c>
      <c r="AX1150" t="inlineStr">
        <is>
          <t>55627716</t>
        </is>
      </c>
      <c r="AY1150" t="inlineStr">
        <is>
          <t>991004762579702656</t>
        </is>
      </c>
      <c r="AZ1150" t="inlineStr">
        <is>
          <t>991004762579702656</t>
        </is>
      </c>
      <c r="BA1150" t="inlineStr">
        <is>
          <t>2255825750002656</t>
        </is>
      </c>
      <c r="BB1150" t="inlineStr">
        <is>
          <t>BOOK</t>
        </is>
      </c>
      <c r="BD1150" t="inlineStr">
        <is>
          <t>9789587041453</t>
        </is>
      </c>
      <c r="BE1150" t="inlineStr">
        <is>
          <t>32285005166821</t>
        </is>
      </c>
      <c r="BF1150" t="inlineStr">
        <is>
          <t>893594069</t>
        </is>
      </c>
    </row>
    <row r="1151">
      <c r="A1151" t="inlineStr">
        <is>
          <t>No</t>
        </is>
      </c>
      <c r="B1151" t="inlineStr">
        <is>
          <t>CURAL</t>
        </is>
      </c>
      <c r="C1151" t="inlineStr">
        <is>
          <t>SHELVES</t>
        </is>
      </c>
      <c r="D1151" t="inlineStr">
        <is>
          <t>PQ8180.28.O7 E38 2007</t>
        </is>
      </c>
      <c r="E1151" t="inlineStr">
        <is>
          <t>0                      PQ 8180280O  7                  E  38          2007</t>
        </is>
      </c>
      <c r="F1151" t="inlineStr">
        <is>
          <t>Los ejércitos / Evelio Rosero.</t>
        </is>
      </c>
      <c r="H1151" t="inlineStr">
        <is>
          <t>No</t>
        </is>
      </c>
      <c r="I1151" t="inlineStr">
        <is>
          <t>1</t>
        </is>
      </c>
      <c r="J1151" t="inlineStr">
        <is>
          <t>No</t>
        </is>
      </c>
      <c r="K1151" t="inlineStr">
        <is>
          <t>No</t>
        </is>
      </c>
      <c r="L1151" t="inlineStr">
        <is>
          <t>0</t>
        </is>
      </c>
      <c r="M1151" t="inlineStr">
        <is>
          <t>Rosero Diago, Evelio, 1958-</t>
        </is>
      </c>
      <c r="N1151" t="inlineStr">
        <is>
          <t>México, D.F. : Tusquets Editores México, 2007.</t>
        </is>
      </c>
      <c r="O1151" t="inlineStr">
        <is>
          <t>2007</t>
        </is>
      </c>
      <c r="P1151" t="inlineStr">
        <is>
          <t>1. ed.</t>
        </is>
      </c>
      <c r="Q1151" t="inlineStr">
        <is>
          <t>spa</t>
        </is>
      </c>
      <c r="R1151" t="inlineStr">
        <is>
          <t xml:space="preserve">mx </t>
        </is>
      </c>
      <c r="S1151" t="inlineStr">
        <is>
          <t>Colección Andanzas ; 629</t>
        </is>
      </c>
      <c r="T1151" t="inlineStr">
        <is>
          <t xml:space="preserve">PQ </t>
        </is>
      </c>
      <c r="U1151" t="n">
        <v>1</v>
      </c>
      <c r="V1151" t="n">
        <v>1</v>
      </c>
      <c r="W1151" t="inlineStr">
        <is>
          <t>2008-01-17</t>
        </is>
      </c>
      <c r="X1151" t="inlineStr">
        <is>
          <t>2008-01-17</t>
        </is>
      </c>
      <c r="Y1151" t="inlineStr">
        <is>
          <t>2008-01-17</t>
        </is>
      </c>
      <c r="Z1151" t="inlineStr">
        <is>
          <t>2008-01-17</t>
        </is>
      </c>
      <c r="AA1151" t="n">
        <v>14</v>
      </c>
      <c r="AB1151" t="n">
        <v>10</v>
      </c>
      <c r="AC1151" t="n">
        <v>230</v>
      </c>
      <c r="AD1151" t="n">
        <v>1</v>
      </c>
      <c r="AE1151" t="n">
        <v>3</v>
      </c>
      <c r="AF1151" t="n">
        <v>1</v>
      </c>
      <c r="AG1151" t="n">
        <v>5</v>
      </c>
      <c r="AH1151" t="n">
        <v>0</v>
      </c>
      <c r="AI1151" t="n">
        <v>1</v>
      </c>
      <c r="AJ1151" t="n">
        <v>0</v>
      </c>
      <c r="AK1151" t="n">
        <v>1</v>
      </c>
      <c r="AL1151" t="n">
        <v>1</v>
      </c>
      <c r="AM1151" t="n">
        <v>4</v>
      </c>
      <c r="AN1151" t="n">
        <v>0</v>
      </c>
      <c r="AO1151" t="n">
        <v>1</v>
      </c>
      <c r="AP1151" t="n">
        <v>0</v>
      </c>
      <c r="AQ1151" t="n">
        <v>0</v>
      </c>
      <c r="AR1151" t="inlineStr">
        <is>
          <t>No</t>
        </is>
      </c>
      <c r="AS1151" t="inlineStr">
        <is>
          <t>No</t>
        </is>
      </c>
      <c r="AU1151">
        <f>HYPERLINK("https://creighton-primo.hosted.exlibrisgroup.com/primo-explore/search?tab=default_tab&amp;search_scope=EVERYTHING&amp;vid=01CRU&amp;lang=en_US&amp;offset=0&amp;query=any,contains,991005173679702656","Catalog Record")</f>
        <v/>
      </c>
      <c r="AV1151">
        <f>HYPERLINK("http://www.worldcat.org/oclc/182956574","WorldCat Record")</f>
        <v/>
      </c>
      <c r="AW1151" t="inlineStr">
        <is>
          <t>142146465:spa</t>
        </is>
      </c>
      <c r="AX1151" t="inlineStr">
        <is>
          <t>182956574</t>
        </is>
      </c>
      <c r="AY1151" t="inlineStr">
        <is>
          <t>991005173679702656</t>
        </is>
      </c>
      <c r="AZ1151" t="inlineStr">
        <is>
          <t>991005173679702656</t>
        </is>
      </c>
      <c r="BA1151" t="inlineStr">
        <is>
          <t>2255822390002656</t>
        </is>
      </c>
      <c r="BB1151" t="inlineStr">
        <is>
          <t>BOOK</t>
        </is>
      </c>
      <c r="BD1151" t="inlineStr">
        <is>
          <t>9789706991676</t>
        </is>
      </c>
      <c r="BE1151" t="inlineStr">
        <is>
          <t>32285005378897</t>
        </is>
      </c>
      <c r="BF1151" t="inlineStr">
        <is>
          <t>893424672</t>
        </is>
      </c>
    </row>
    <row r="1152">
      <c r="A1152" t="inlineStr">
        <is>
          <t>No</t>
        </is>
      </c>
      <c r="B1152" t="inlineStr">
        <is>
          <t>CURAL</t>
        </is>
      </c>
      <c r="C1152" t="inlineStr">
        <is>
          <t>SHELVES</t>
        </is>
      </c>
      <c r="D1152" t="inlineStr">
        <is>
          <t>PQ8220.23.A48 A53 2000</t>
        </is>
      </c>
      <c r="E1152" t="inlineStr">
        <is>
          <t>0                      PQ 8220230A  48                 A  53          2000</t>
        </is>
      </c>
      <c r="F1152" t="inlineStr">
        <is>
          <t>A las puertas del infierno / Victor Guillermo Malta.</t>
        </is>
      </c>
      <c r="H1152" t="inlineStr">
        <is>
          <t>No</t>
        </is>
      </c>
      <c r="I1152" t="inlineStr">
        <is>
          <t>1</t>
        </is>
      </c>
      <c r="J1152" t="inlineStr">
        <is>
          <t>No</t>
        </is>
      </c>
      <c r="K1152" t="inlineStr">
        <is>
          <t>No</t>
        </is>
      </c>
      <c r="L1152" t="inlineStr">
        <is>
          <t>0</t>
        </is>
      </c>
      <c r="M1152" t="inlineStr">
        <is>
          <t>Malta, Victor Guillermo.</t>
        </is>
      </c>
      <c r="N1152" t="inlineStr">
        <is>
          <t>New York : Victory Editorial, 2000.</t>
        </is>
      </c>
      <c r="O1152" t="inlineStr">
        <is>
          <t>2000</t>
        </is>
      </c>
      <c r="Q1152" t="inlineStr">
        <is>
          <t>spa</t>
        </is>
      </c>
      <c r="R1152" t="inlineStr">
        <is>
          <t>nyu</t>
        </is>
      </c>
      <c r="T1152" t="inlineStr">
        <is>
          <t xml:space="preserve">PQ </t>
        </is>
      </c>
      <c r="U1152" t="n">
        <v>1</v>
      </c>
      <c r="V1152" t="n">
        <v>1</v>
      </c>
      <c r="W1152" t="inlineStr">
        <is>
          <t>2001-01-03</t>
        </is>
      </c>
      <c r="X1152" t="inlineStr">
        <is>
          <t>2001-01-03</t>
        </is>
      </c>
      <c r="Y1152" t="inlineStr">
        <is>
          <t>2001-01-03</t>
        </is>
      </c>
      <c r="Z1152" t="inlineStr">
        <is>
          <t>2001-01-03</t>
        </is>
      </c>
      <c r="AA1152" t="n">
        <v>209</v>
      </c>
      <c r="AB1152" t="n">
        <v>201</v>
      </c>
      <c r="AC1152" t="n">
        <v>201</v>
      </c>
      <c r="AD1152" t="n">
        <v>3</v>
      </c>
      <c r="AE1152" t="n">
        <v>3</v>
      </c>
      <c r="AF1152" t="n">
        <v>14</v>
      </c>
      <c r="AG1152" t="n">
        <v>14</v>
      </c>
      <c r="AH1152" t="n">
        <v>7</v>
      </c>
      <c r="AI1152" t="n">
        <v>7</v>
      </c>
      <c r="AJ1152" t="n">
        <v>2</v>
      </c>
      <c r="AK1152" t="n">
        <v>2</v>
      </c>
      <c r="AL1152" t="n">
        <v>5</v>
      </c>
      <c r="AM1152" t="n">
        <v>5</v>
      </c>
      <c r="AN1152" t="n">
        <v>2</v>
      </c>
      <c r="AO1152" t="n">
        <v>2</v>
      </c>
      <c r="AP1152" t="n">
        <v>0</v>
      </c>
      <c r="AQ1152" t="n">
        <v>0</v>
      </c>
      <c r="AR1152" t="inlineStr">
        <is>
          <t>No</t>
        </is>
      </c>
      <c r="AS1152" t="inlineStr">
        <is>
          <t>No</t>
        </is>
      </c>
      <c r="AU1152">
        <f>HYPERLINK("https://creighton-primo.hosted.exlibrisgroup.com/primo-explore/search?tab=default_tab&amp;search_scope=EVERYTHING&amp;vid=01CRU&amp;lang=en_US&amp;offset=0&amp;query=any,contains,991003364709702656","Catalog Record")</f>
        <v/>
      </c>
      <c r="AV1152">
        <f>HYPERLINK("http://www.worldcat.org/oclc/45146899","WorldCat Record")</f>
        <v/>
      </c>
      <c r="AW1152" t="inlineStr">
        <is>
          <t>34874445:spa</t>
        </is>
      </c>
      <c r="AX1152" t="inlineStr">
        <is>
          <t>45146899</t>
        </is>
      </c>
      <c r="AY1152" t="inlineStr">
        <is>
          <t>991003364709702656</t>
        </is>
      </c>
      <c r="AZ1152" t="inlineStr">
        <is>
          <t>991003364709702656</t>
        </is>
      </c>
      <c r="BA1152" t="inlineStr">
        <is>
          <t>2264572100002656</t>
        </is>
      </c>
      <c r="BB1152" t="inlineStr">
        <is>
          <t>BOOK</t>
        </is>
      </c>
      <c r="BD1152" t="inlineStr">
        <is>
          <t>9780970006400</t>
        </is>
      </c>
      <c r="BE1152" t="inlineStr">
        <is>
          <t>32285004278700</t>
        </is>
      </c>
      <c r="BF1152" t="inlineStr">
        <is>
          <t>893692664</t>
        </is>
      </c>
    </row>
    <row r="1153">
      <c r="A1153" t="inlineStr">
        <is>
          <t>No</t>
        </is>
      </c>
      <c r="B1153" t="inlineStr">
        <is>
          <t>CURAL</t>
        </is>
      </c>
      <c r="C1153" t="inlineStr">
        <is>
          <t>SHELVES</t>
        </is>
      </c>
      <c r="D1153" t="inlineStr">
        <is>
          <t>PQ8220.28.I9 C8 1979</t>
        </is>
      </c>
      <c r="E1153" t="inlineStr">
        <is>
          <t>0                      PQ 8220280I  9                  C  8           1979</t>
        </is>
      </c>
      <c r="F1153" t="inlineStr">
        <is>
          <t>Cuando maduren los mangos : novela / Vladimiro Rivas.</t>
        </is>
      </c>
      <c r="H1153" t="inlineStr">
        <is>
          <t>No</t>
        </is>
      </c>
      <c r="I1153" t="inlineStr">
        <is>
          <t>1</t>
        </is>
      </c>
      <c r="J1153" t="inlineStr">
        <is>
          <t>No</t>
        </is>
      </c>
      <c r="K1153" t="inlineStr">
        <is>
          <t>No</t>
        </is>
      </c>
      <c r="L1153" t="inlineStr">
        <is>
          <t>0</t>
        </is>
      </c>
      <c r="M1153" t="inlineStr">
        <is>
          <t>Rivas, Vladimiro, 1935-</t>
        </is>
      </c>
      <c r="N1153" t="inlineStr">
        <is>
          <t>Caracas : Estudio 70, 1979.</t>
        </is>
      </c>
      <c r="O1153" t="inlineStr">
        <is>
          <t>1979</t>
        </is>
      </c>
      <c r="P1153" t="inlineStr">
        <is>
          <t>3a ed.</t>
        </is>
      </c>
      <c r="Q1153" t="inlineStr">
        <is>
          <t>spa</t>
        </is>
      </c>
      <c r="R1153" t="inlineStr">
        <is>
          <t xml:space="preserve">ve </t>
        </is>
      </c>
      <c r="S1153" t="inlineStr">
        <is>
          <t>Colección Nueva narrativa</t>
        </is>
      </c>
      <c r="T1153" t="inlineStr">
        <is>
          <t xml:space="preserve">PQ </t>
        </is>
      </c>
      <c r="U1153" t="n">
        <v>1</v>
      </c>
      <c r="V1153" t="n">
        <v>1</v>
      </c>
      <c r="W1153" t="inlineStr">
        <is>
          <t>2002-06-13</t>
        </is>
      </c>
      <c r="X1153" t="inlineStr">
        <is>
          <t>2002-06-13</t>
        </is>
      </c>
      <c r="Y1153" t="inlineStr">
        <is>
          <t>2002-06-13</t>
        </is>
      </c>
      <c r="Z1153" t="inlineStr">
        <is>
          <t>2002-06-13</t>
        </is>
      </c>
      <c r="AA1153" t="n">
        <v>2</v>
      </c>
      <c r="AB1153" t="n">
        <v>2</v>
      </c>
      <c r="AC1153" t="n">
        <v>13</v>
      </c>
      <c r="AD1153" t="n">
        <v>1</v>
      </c>
      <c r="AE1153" t="n">
        <v>1</v>
      </c>
      <c r="AF1153" t="n">
        <v>0</v>
      </c>
      <c r="AG1153" t="n">
        <v>0</v>
      </c>
      <c r="AH1153" t="n">
        <v>0</v>
      </c>
      <c r="AI1153" t="n">
        <v>0</v>
      </c>
      <c r="AJ1153" t="n">
        <v>0</v>
      </c>
      <c r="AK1153" t="n">
        <v>0</v>
      </c>
      <c r="AL1153" t="n">
        <v>0</v>
      </c>
      <c r="AM1153" t="n">
        <v>0</v>
      </c>
      <c r="AN1153" t="n">
        <v>0</v>
      </c>
      <c r="AO1153" t="n">
        <v>0</v>
      </c>
      <c r="AP1153" t="n">
        <v>0</v>
      </c>
      <c r="AQ1153" t="n">
        <v>0</v>
      </c>
      <c r="AR1153" t="inlineStr">
        <is>
          <t>No</t>
        </is>
      </c>
      <c r="AS1153" t="inlineStr">
        <is>
          <t>No</t>
        </is>
      </c>
      <c r="AU1153">
        <f>HYPERLINK("https://creighton-primo.hosted.exlibrisgroup.com/primo-explore/search?tab=default_tab&amp;search_scope=EVERYTHING&amp;vid=01CRU&amp;lang=en_US&amp;offset=0&amp;query=any,contains,991003818559702656","Catalog Record")</f>
        <v/>
      </c>
      <c r="AV1153">
        <f>HYPERLINK("http://www.worldcat.org/oclc/26076777","WorldCat Record")</f>
        <v/>
      </c>
      <c r="AW1153" t="inlineStr">
        <is>
          <t>2385577:spa</t>
        </is>
      </c>
      <c r="AX1153" t="inlineStr">
        <is>
          <t>26076777</t>
        </is>
      </c>
      <c r="AY1153" t="inlineStr">
        <is>
          <t>991003818559702656</t>
        </is>
      </c>
      <c r="AZ1153" t="inlineStr">
        <is>
          <t>991003818559702656</t>
        </is>
      </c>
      <c r="BA1153" t="inlineStr">
        <is>
          <t>2262485780002656</t>
        </is>
      </c>
      <c r="BB1153" t="inlineStr">
        <is>
          <t>BOOK</t>
        </is>
      </c>
      <c r="BE1153" t="inlineStr">
        <is>
          <t>32285004494067</t>
        </is>
      </c>
      <c r="BF1153" t="inlineStr">
        <is>
          <t>893592920</t>
        </is>
      </c>
    </row>
    <row r="1154">
      <c r="A1154" t="inlineStr">
        <is>
          <t>No</t>
        </is>
      </c>
      <c r="B1154" t="inlineStr">
        <is>
          <t>CURAL</t>
        </is>
      </c>
      <c r="C1154" t="inlineStr">
        <is>
          <t>SHELVES</t>
        </is>
      </c>
      <c r="D1154" t="inlineStr">
        <is>
          <t>PQ8259.R56 Y636 1976</t>
        </is>
      </c>
      <c r="E1154" t="inlineStr">
        <is>
          <t>0                      PQ 8259000R  56                 Y  636         1976</t>
        </is>
      </c>
      <c r="F1154" t="inlineStr">
        <is>
          <t>Los dictadores latinoamericanos / Angel Rama.</t>
        </is>
      </c>
      <c r="H1154" t="inlineStr">
        <is>
          <t>No</t>
        </is>
      </c>
      <c r="I1154" t="inlineStr">
        <is>
          <t>1</t>
        </is>
      </c>
      <c r="J1154" t="inlineStr">
        <is>
          <t>No</t>
        </is>
      </c>
      <c r="K1154" t="inlineStr">
        <is>
          <t>No</t>
        </is>
      </c>
      <c r="L1154" t="inlineStr">
        <is>
          <t>0</t>
        </is>
      </c>
      <c r="M1154" t="inlineStr">
        <is>
          <t>Rama, Angel.</t>
        </is>
      </c>
      <c r="N1154" t="inlineStr">
        <is>
          <t>México : Fondo de Cultura Econaomica, c1976.</t>
        </is>
      </c>
      <c r="O1154" t="inlineStr">
        <is>
          <t>1976</t>
        </is>
      </c>
      <c r="Q1154" t="inlineStr">
        <is>
          <t>spa</t>
        </is>
      </c>
      <c r="R1154" t="inlineStr">
        <is>
          <t xml:space="preserve">mx </t>
        </is>
      </c>
      <c r="S1154" t="inlineStr">
        <is>
          <t>Colección Testimonios del Fondo ; 42</t>
        </is>
      </c>
      <c r="T1154" t="inlineStr">
        <is>
          <t xml:space="preserve">PQ </t>
        </is>
      </c>
      <c r="U1154" t="n">
        <v>1</v>
      </c>
      <c r="V1154" t="n">
        <v>1</v>
      </c>
      <c r="W1154" t="inlineStr">
        <is>
          <t>2004-08-05</t>
        </is>
      </c>
      <c r="X1154" t="inlineStr">
        <is>
          <t>2004-08-05</t>
        </is>
      </c>
      <c r="Y1154" t="inlineStr">
        <is>
          <t>2004-08-05</t>
        </is>
      </c>
      <c r="Z1154" t="inlineStr">
        <is>
          <t>2004-08-05</t>
        </is>
      </c>
      <c r="AA1154" t="n">
        <v>191</v>
      </c>
      <c r="AB1154" t="n">
        <v>149</v>
      </c>
      <c r="AC1154" t="n">
        <v>151</v>
      </c>
      <c r="AD1154" t="n">
        <v>1</v>
      </c>
      <c r="AE1154" t="n">
        <v>1</v>
      </c>
      <c r="AF1154" t="n">
        <v>5</v>
      </c>
      <c r="AG1154" t="n">
        <v>5</v>
      </c>
      <c r="AH1154" t="n">
        <v>0</v>
      </c>
      <c r="AI1154" t="n">
        <v>0</v>
      </c>
      <c r="AJ1154" t="n">
        <v>3</v>
      </c>
      <c r="AK1154" t="n">
        <v>3</v>
      </c>
      <c r="AL1154" t="n">
        <v>3</v>
      </c>
      <c r="AM1154" t="n">
        <v>3</v>
      </c>
      <c r="AN1154" t="n">
        <v>0</v>
      </c>
      <c r="AO1154" t="n">
        <v>0</v>
      </c>
      <c r="AP1154" t="n">
        <v>0</v>
      </c>
      <c r="AQ1154" t="n">
        <v>0</v>
      </c>
      <c r="AR1154" t="inlineStr">
        <is>
          <t>No</t>
        </is>
      </c>
      <c r="AS1154" t="inlineStr">
        <is>
          <t>Yes</t>
        </is>
      </c>
      <c r="AT1154">
        <f>HYPERLINK("http://catalog.hathitrust.org/Record/004465166","HathiTrust Record")</f>
        <v/>
      </c>
      <c r="AU1154">
        <f>HYPERLINK("https://creighton-primo.hosted.exlibrisgroup.com/primo-explore/search?tab=default_tab&amp;search_scope=EVERYTHING&amp;vid=01CRU&amp;lang=en_US&amp;offset=0&amp;query=any,contains,991004339789702656","Catalog Record")</f>
        <v/>
      </c>
      <c r="AV1154">
        <f>HYPERLINK("http://www.worldcat.org/oclc/3191018","WorldCat Record")</f>
        <v/>
      </c>
      <c r="AW1154" t="inlineStr">
        <is>
          <t>351311459:spa</t>
        </is>
      </c>
      <c r="AX1154" t="inlineStr">
        <is>
          <t>3191018</t>
        </is>
      </c>
      <c r="AY1154" t="inlineStr">
        <is>
          <t>991004339789702656</t>
        </is>
      </c>
      <c r="AZ1154" t="inlineStr">
        <is>
          <t>991004339789702656</t>
        </is>
      </c>
      <c r="BA1154" t="inlineStr">
        <is>
          <t>2255184490002656</t>
        </is>
      </c>
      <c r="BB1154" t="inlineStr">
        <is>
          <t>BOOK</t>
        </is>
      </c>
      <c r="BE1154" t="inlineStr">
        <is>
          <t>32285004929633</t>
        </is>
      </c>
      <c r="BF1154" t="inlineStr">
        <is>
          <t>893718792</t>
        </is>
      </c>
    </row>
    <row r="1155">
      <c r="A1155" t="inlineStr">
        <is>
          <t>No</t>
        </is>
      </c>
      <c r="B1155" t="inlineStr">
        <is>
          <t>CURAL</t>
        </is>
      </c>
      <c r="C1155" t="inlineStr">
        <is>
          <t>SHELVES</t>
        </is>
      </c>
      <c r="D1155" t="inlineStr">
        <is>
          <t>PQ8403 .A4</t>
        </is>
      </c>
      <c r="E1155" t="inlineStr">
        <is>
          <t>0                      PQ 8403000A  4</t>
        </is>
      </c>
      <c r="F1155" t="inlineStr">
        <is>
          <t>The modern short story in Peru [by] Earl M. Aldrich, Jr.</t>
        </is>
      </c>
      <c r="H1155" t="inlineStr">
        <is>
          <t>No</t>
        </is>
      </c>
      <c r="I1155" t="inlineStr">
        <is>
          <t>1</t>
        </is>
      </c>
      <c r="J1155" t="inlineStr">
        <is>
          <t>No</t>
        </is>
      </c>
      <c r="K1155" t="inlineStr">
        <is>
          <t>No</t>
        </is>
      </c>
      <c r="L1155" t="inlineStr">
        <is>
          <t>0</t>
        </is>
      </c>
      <c r="M1155" t="inlineStr">
        <is>
          <t>Aldrich, Earl M.</t>
        </is>
      </c>
      <c r="N1155" t="inlineStr">
        <is>
          <t>Madison, University of Wisconsin Press, 1966.</t>
        </is>
      </c>
      <c r="O1155" t="inlineStr">
        <is>
          <t>1966</t>
        </is>
      </c>
      <c r="Q1155" t="inlineStr">
        <is>
          <t>eng</t>
        </is>
      </c>
      <c r="R1155" t="inlineStr">
        <is>
          <t>wiu</t>
        </is>
      </c>
      <c r="T1155" t="inlineStr">
        <is>
          <t xml:space="preserve">PQ </t>
        </is>
      </c>
      <c r="U1155" t="n">
        <v>3</v>
      </c>
      <c r="V1155" t="n">
        <v>3</v>
      </c>
      <c r="W1155" t="inlineStr">
        <is>
          <t>2001-10-17</t>
        </is>
      </c>
      <c r="X1155" t="inlineStr">
        <is>
          <t>2001-10-17</t>
        </is>
      </c>
      <c r="Y1155" t="inlineStr">
        <is>
          <t>1997-08-08</t>
        </is>
      </c>
      <c r="Z1155" t="inlineStr">
        <is>
          <t>1997-08-08</t>
        </is>
      </c>
      <c r="AA1155" t="n">
        <v>651</v>
      </c>
      <c r="AB1155" t="n">
        <v>590</v>
      </c>
      <c r="AC1155" t="n">
        <v>594</v>
      </c>
      <c r="AD1155" t="n">
        <v>5</v>
      </c>
      <c r="AE1155" t="n">
        <v>5</v>
      </c>
      <c r="AF1155" t="n">
        <v>30</v>
      </c>
      <c r="AG1155" t="n">
        <v>31</v>
      </c>
      <c r="AH1155" t="n">
        <v>10</v>
      </c>
      <c r="AI1155" t="n">
        <v>11</v>
      </c>
      <c r="AJ1155" t="n">
        <v>6</v>
      </c>
      <c r="AK1155" t="n">
        <v>6</v>
      </c>
      <c r="AL1155" t="n">
        <v>16</v>
      </c>
      <c r="AM1155" t="n">
        <v>17</v>
      </c>
      <c r="AN1155" t="n">
        <v>4</v>
      </c>
      <c r="AO1155" t="n">
        <v>4</v>
      </c>
      <c r="AP1155" t="n">
        <v>0</v>
      </c>
      <c r="AQ1155" t="n">
        <v>0</v>
      </c>
      <c r="AR1155" t="inlineStr">
        <is>
          <t>No</t>
        </is>
      </c>
      <c r="AS1155" t="inlineStr">
        <is>
          <t>Yes</t>
        </is>
      </c>
      <c r="AT1155">
        <f>HYPERLINK("http://catalog.hathitrust.org/Record/001048738","HathiTrust Record")</f>
        <v/>
      </c>
      <c r="AU1155">
        <f>HYPERLINK("https://creighton-primo.hosted.exlibrisgroup.com/primo-explore/search?tab=default_tab&amp;search_scope=EVERYTHING&amp;vid=01CRU&amp;lang=en_US&amp;offset=0&amp;query=any,contains,991002432539702656","Catalog Record")</f>
        <v/>
      </c>
      <c r="AV1155">
        <f>HYPERLINK("http://www.worldcat.org/oclc/347619","WorldCat Record")</f>
        <v/>
      </c>
      <c r="AW1155" t="inlineStr">
        <is>
          <t>1500314:eng</t>
        </is>
      </c>
      <c r="AX1155" t="inlineStr">
        <is>
          <t>347619</t>
        </is>
      </c>
      <c r="AY1155" t="inlineStr">
        <is>
          <t>991002432539702656</t>
        </is>
      </c>
      <c r="AZ1155" t="inlineStr">
        <is>
          <t>991002432539702656</t>
        </is>
      </c>
      <c r="BA1155" t="inlineStr">
        <is>
          <t>2272685990002656</t>
        </is>
      </c>
      <c r="BB1155" t="inlineStr">
        <is>
          <t>BOOK</t>
        </is>
      </c>
      <c r="BE1155" t="inlineStr">
        <is>
          <t>32285003062105</t>
        </is>
      </c>
      <c r="BF1155" t="inlineStr">
        <is>
          <t>893804606</t>
        </is>
      </c>
    </row>
    <row r="1156">
      <c r="A1156" t="inlineStr">
        <is>
          <t>No</t>
        </is>
      </c>
      <c r="B1156" t="inlineStr">
        <is>
          <t>CURAL</t>
        </is>
      </c>
      <c r="C1156" t="inlineStr">
        <is>
          <t>SHELVES</t>
        </is>
      </c>
      <c r="D1156" t="inlineStr">
        <is>
          <t>PQ8407.V56 M34 1993</t>
        </is>
      </c>
      <c r="E1156" t="inlineStr">
        <is>
          <t>0                      PQ 8407000V  56                 M  34          1993</t>
        </is>
      </c>
      <c r="F1156" t="inlineStr">
        <is>
          <t>La retórica de la violencia en tres novelas peruanas / Ismael P. Márquez.</t>
        </is>
      </c>
      <c r="H1156" t="inlineStr">
        <is>
          <t>No</t>
        </is>
      </c>
      <c r="I1156" t="inlineStr">
        <is>
          <t>1</t>
        </is>
      </c>
      <c r="J1156" t="inlineStr">
        <is>
          <t>No</t>
        </is>
      </c>
      <c r="K1156" t="inlineStr">
        <is>
          <t>No</t>
        </is>
      </c>
      <c r="L1156" t="inlineStr">
        <is>
          <t>0</t>
        </is>
      </c>
      <c r="M1156" t="inlineStr">
        <is>
          <t>Márquez, Ismael P.</t>
        </is>
      </c>
      <c r="N1156" t="inlineStr">
        <is>
          <t>New York : P. Lang, c1994.</t>
        </is>
      </c>
      <c r="O1156" t="inlineStr">
        <is>
          <t>1994</t>
        </is>
      </c>
      <c r="Q1156" t="inlineStr">
        <is>
          <t>spa</t>
        </is>
      </c>
      <c r="R1156" t="inlineStr">
        <is>
          <t>nyu</t>
        </is>
      </c>
      <c r="S1156" t="inlineStr">
        <is>
          <t>University of Texas studies in contemporary Spanish-American fiction, 0888-8787 ; v. 7</t>
        </is>
      </c>
      <c r="T1156" t="inlineStr">
        <is>
          <t xml:space="preserve">PQ </t>
        </is>
      </c>
      <c r="U1156" t="n">
        <v>2</v>
      </c>
      <c r="V1156" t="n">
        <v>2</v>
      </c>
      <c r="W1156" t="inlineStr">
        <is>
          <t>1996-11-21</t>
        </is>
      </c>
      <c r="X1156" t="inlineStr">
        <is>
          <t>1996-11-21</t>
        </is>
      </c>
      <c r="Y1156" t="inlineStr">
        <is>
          <t>1995-08-16</t>
        </is>
      </c>
      <c r="Z1156" t="inlineStr">
        <is>
          <t>1995-08-16</t>
        </is>
      </c>
      <c r="AA1156" t="n">
        <v>123</v>
      </c>
      <c r="AB1156" t="n">
        <v>86</v>
      </c>
      <c r="AC1156" t="n">
        <v>87</v>
      </c>
      <c r="AD1156" t="n">
        <v>1</v>
      </c>
      <c r="AE1156" t="n">
        <v>1</v>
      </c>
      <c r="AF1156" t="n">
        <v>4</v>
      </c>
      <c r="AG1156" t="n">
        <v>4</v>
      </c>
      <c r="AH1156" t="n">
        <v>0</v>
      </c>
      <c r="AI1156" t="n">
        <v>0</v>
      </c>
      <c r="AJ1156" t="n">
        <v>3</v>
      </c>
      <c r="AK1156" t="n">
        <v>3</v>
      </c>
      <c r="AL1156" t="n">
        <v>2</v>
      </c>
      <c r="AM1156" t="n">
        <v>2</v>
      </c>
      <c r="AN1156" t="n">
        <v>0</v>
      </c>
      <c r="AO1156" t="n">
        <v>0</v>
      </c>
      <c r="AP1156" t="n">
        <v>0</v>
      </c>
      <c r="AQ1156" t="n">
        <v>0</v>
      </c>
      <c r="AR1156" t="inlineStr">
        <is>
          <t>No</t>
        </is>
      </c>
      <c r="AS1156" t="inlineStr">
        <is>
          <t>No</t>
        </is>
      </c>
      <c r="AU1156">
        <f>HYPERLINK("https://creighton-primo.hosted.exlibrisgroup.com/primo-explore/search?tab=default_tab&amp;search_scope=EVERYTHING&amp;vid=01CRU&amp;lang=en_US&amp;offset=0&amp;query=any,contains,991002057409702656","Catalog Record")</f>
        <v/>
      </c>
      <c r="AV1156">
        <f>HYPERLINK("http://www.worldcat.org/oclc/26307768","WorldCat Record")</f>
        <v/>
      </c>
      <c r="AW1156" t="inlineStr">
        <is>
          <t>352612966:spa</t>
        </is>
      </c>
      <c r="AX1156" t="inlineStr">
        <is>
          <t>26307768</t>
        </is>
      </c>
      <c r="AY1156" t="inlineStr">
        <is>
          <t>991002057409702656</t>
        </is>
      </c>
      <c r="AZ1156" t="inlineStr">
        <is>
          <t>991002057409702656</t>
        </is>
      </c>
      <c r="BA1156" t="inlineStr">
        <is>
          <t>2264876490002656</t>
        </is>
      </c>
      <c r="BB1156" t="inlineStr">
        <is>
          <t>BOOK</t>
        </is>
      </c>
      <c r="BD1156" t="inlineStr">
        <is>
          <t>9780820419749</t>
        </is>
      </c>
      <c r="BE1156" t="inlineStr">
        <is>
          <t>32285002077658</t>
        </is>
      </c>
      <c r="BF1156" t="inlineStr">
        <is>
          <t>893510241</t>
        </is>
      </c>
    </row>
    <row r="1157">
      <c r="A1157" t="inlineStr">
        <is>
          <t>No</t>
        </is>
      </c>
      <c r="B1157" t="inlineStr">
        <is>
          <t>CURAL</t>
        </is>
      </c>
      <c r="C1157" t="inlineStr">
        <is>
          <t>SHELVES</t>
        </is>
      </c>
      <c r="D1157" t="inlineStr">
        <is>
          <t>PQ8497.A56 M8 1978</t>
        </is>
      </c>
      <c r="E1157" t="inlineStr">
        <is>
          <t>0                      PQ 8497000A  56                 M  8           1978</t>
        </is>
      </c>
      <c r="F1157" t="inlineStr">
        <is>
          <t>El mundo es ancho y ajeno / Ciro Alegría ; prólogo, notas y cronología, Antonio Cornejo Polar.</t>
        </is>
      </c>
      <c r="H1157" t="inlineStr">
        <is>
          <t>No</t>
        </is>
      </c>
      <c r="I1157" t="inlineStr">
        <is>
          <t>1</t>
        </is>
      </c>
      <c r="J1157" t="inlineStr">
        <is>
          <t>No</t>
        </is>
      </c>
      <c r="K1157" t="inlineStr">
        <is>
          <t>Yes</t>
        </is>
      </c>
      <c r="L1157" t="inlineStr">
        <is>
          <t>0</t>
        </is>
      </c>
      <c r="M1157" t="inlineStr">
        <is>
          <t>Alegría, Ciro, 1909-1967.</t>
        </is>
      </c>
      <c r="N1157" t="inlineStr">
        <is>
          <t>Caracas : Biblioteca Ayacucho, [1978]</t>
        </is>
      </c>
      <c r="O1157" t="inlineStr">
        <is>
          <t>1978</t>
        </is>
      </c>
      <c r="Q1157" t="inlineStr">
        <is>
          <t>spa</t>
        </is>
      </c>
      <c r="R1157" t="inlineStr">
        <is>
          <t xml:space="preserve">ve </t>
        </is>
      </c>
      <c r="S1157" t="inlineStr">
        <is>
          <t>Biblioteca Ayacucho ; 41</t>
        </is>
      </c>
      <c r="T1157" t="inlineStr">
        <is>
          <t xml:space="preserve">PQ </t>
        </is>
      </c>
      <c r="U1157" t="n">
        <v>1</v>
      </c>
      <c r="V1157" t="n">
        <v>1</v>
      </c>
      <c r="W1157" t="inlineStr">
        <is>
          <t>2001-11-19</t>
        </is>
      </c>
      <c r="X1157" t="inlineStr">
        <is>
          <t>2001-11-19</t>
        </is>
      </c>
      <c r="Y1157" t="inlineStr">
        <is>
          <t>2001-11-19</t>
        </is>
      </c>
      <c r="Z1157" t="inlineStr">
        <is>
          <t>2001-11-19</t>
        </is>
      </c>
      <c r="AA1157" t="n">
        <v>125</v>
      </c>
      <c r="AB1157" t="n">
        <v>80</v>
      </c>
      <c r="AC1157" t="n">
        <v>945</v>
      </c>
      <c r="AD1157" t="n">
        <v>1</v>
      </c>
      <c r="AE1157" t="n">
        <v>10</v>
      </c>
      <c r="AF1157" t="n">
        <v>3</v>
      </c>
      <c r="AG1157" t="n">
        <v>53</v>
      </c>
      <c r="AH1157" t="n">
        <v>0</v>
      </c>
      <c r="AI1157" t="n">
        <v>23</v>
      </c>
      <c r="AJ1157" t="n">
        <v>3</v>
      </c>
      <c r="AK1157" t="n">
        <v>11</v>
      </c>
      <c r="AL1157" t="n">
        <v>1</v>
      </c>
      <c r="AM1157" t="n">
        <v>22</v>
      </c>
      <c r="AN1157" t="n">
        <v>0</v>
      </c>
      <c r="AO1157" t="n">
        <v>9</v>
      </c>
      <c r="AP1157" t="n">
        <v>0</v>
      </c>
      <c r="AQ1157" t="n">
        <v>0</v>
      </c>
      <c r="AR1157" t="inlineStr">
        <is>
          <t>No</t>
        </is>
      </c>
      <c r="AS1157" t="inlineStr">
        <is>
          <t>Yes</t>
        </is>
      </c>
      <c r="AT1157">
        <f>HYPERLINK("http://catalog.hathitrust.org/Record/101208768","HathiTrust Record")</f>
        <v/>
      </c>
      <c r="AU1157">
        <f>HYPERLINK("https://creighton-primo.hosted.exlibrisgroup.com/primo-explore/search?tab=default_tab&amp;search_scope=EVERYTHING&amp;vid=01CRU&amp;lang=en_US&amp;offset=0&amp;query=any,contains,991003682189702656","Catalog Record")</f>
        <v/>
      </c>
      <c r="AV1157">
        <f>HYPERLINK("http://www.worldcat.org/oclc/6196863","WorldCat Record")</f>
        <v/>
      </c>
      <c r="AW1157" t="inlineStr">
        <is>
          <t>1573995:spa</t>
        </is>
      </c>
      <c r="AX1157" t="inlineStr">
        <is>
          <t>6196863</t>
        </is>
      </c>
      <c r="AY1157" t="inlineStr">
        <is>
          <t>991003682189702656</t>
        </is>
      </c>
      <c r="AZ1157" t="inlineStr">
        <is>
          <t>991003682189702656</t>
        </is>
      </c>
      <c r="BA1157" t="inlineStr">
        <is>
          <t>2266423890002656</t>
        </is>
      </c>
      <c r="BB1157" t="inlineStr">
        <is>
          <t>BOOK</t>
        </is>
      </c>
      <c r="BE1157" t="inlineStr">
        <is>
          <t>32285004412515</t>
        </is>
      </c>
      <c r="BF1157" t="inlineStr">
        <is>
          <t>893627704</t>
        </is>
      </c>
    </row>
    <row r="1158">
      <c r="A1158" t="inlineStr">
        <is>
          <t>No</t>
        </is>
      </c>
      <c r="B1158" t="inlineStr">
        <is>
          <t>CURAL</t>
        </is>
      </c>
      <c r="C1158" t="inlineStr">
        <is>
          <t>SHELVES</t>
        </is>
      </c>
      <c r="D1158" t="inlineStr">
        <is>
          <t>PQ8497.A56 P3 1963</t>
        </is>
      </c>
      <c r="E1158" t="inlineStr">
        <is>
          <t>0                      PQ 8497000A  56                 P  3           1963</t>
        </is>
      </c>
      <c r="F1158" t="inlineStr">
        <is>
          <t>Los perros hambrientos / Ciro Alegría.</t>
        </is>
      </c>
      <c r="H1158" t="inlineStr">
        <is>
          <t>No</t>
        </is>
      </c>
      <c r="I1158" t="inlineStr">
        <is>
          <t>1</t>
        </is>
      </c>
      <c r="J1158" t="inlineStr">
        <is>
          <t>No</t>
        </is>
      </c>
      <c r="K1158" t="inlineStr">
        <is>
          <t>No</t>
        </is>
      </c>
      <c r="L1158" t="inlineStr">
        <is>
          <t>0</t>
        </is>
      </c>
      <c r="M1158" t="inlineStr">
        <is>
          <t>Alegría, Ciro, 1909-1967.</t>
        </is>
      </c>
      <c r="N1158" t="inlineStr">
        <is>
          <t>[Lima] : Ediciones Nuevo Mundo, [1963]</t>
        </is>
      </c>
      <c r="O1158" t="inlineStr">
        <is>
          <t>1963</t>
        </is>
      </c>
      <c r="Q1158" t="inlineStr">
        <is>
          <t>spa</t>
        </is>
      </c>
      <c r="R1158" t="inlineStr">
        <is>
          <t xml:space="preserve">pe </t>
        </is>
      </c>
      <c r="S1158" t="inlineStr">
        <is>
          <t>Escritores latinoamericanos</t>
        </is>
      </c>
      <c r="T1158" t="inlineStr">
        <is>
          <t xml:space="preserve">PQ </t>
        </is>
      </c>
      <c r="U1158" t="n">
        <v>1</v>
      </c>
      <c r="V1158" t="n">
        <v>1</v>
      </c>
      <c r="W1158" t="inlineStr">
        <is>
          <t>2002-05-13</t>
        </is>
      </c>
      <c r="X1158" t="inlineStr">
        <is>
          <t>2002-05-13</t>
        </is>
      </c>
      <c r="Y1158" t="inlineStr">
        <is>
          <t>2002-05-01</t>
        </is>
      </c>
      <c r="Z1158" t="inlineStr">
        <is>
          <t>2002-05-01</t>
        </is>
      </c>
      <c r="AA1158" t="n">
        <v>19</v>
      </c>
      <c r="AB1158" t="n">
        <v>18</v>
      </c>
      <c r="AC1158" t="n">
        <v>489</v>
      </c>
      <c r="AD1158" t="n">
        <v>1</v>
      </c>
      <c r="AE1158" t="n">
        <v>4</v>
      </c>
      <c r="AF1158" t="n">
        <v>1</v>
      </c>
      <c r="AG1158" t="n">
        <v>27</v>
      </c>
      <c r="AH1158" t="n">
        <v>0</v>
      </c>
      <c r="AI1158" t="n">
        <v>12</v>
      </c>
      <c r="AJ1158" t="n">
        <v>0</v>
      </c>
      <c r="AK1158" t="n">
        <v>4</v>
      </c>
      <c r="AL1158" t="n">
        <v>1</v>
      </c>
      <c r="AM1158" t="n">
        <v>15</v>
      </c>
      <c r="AN1158" t="n">
        <v>0</v>
      </c>
      <c r="AO1158" t="n">
        <v>3</v>
      </c>
      <c r="AP1158" t="n">
        <v>0</v>
      </c>
      <c r="AQ1158" t="n">
        <v>0</v>
      </c>
      <c r="AR1158" t="inlineStr">
        <is>
          <t>No</t>
        </is>
      </c>
      <c r="AS1158" t="inlineStr">
        <is>
          <t>No</t>
        </is>
      </c>
      <c r="AU1158">
        <f>HYPERLINK("https://creighton-primo.hosted.exlibrisgroup.com/primo-explore/search?tab=default_tab&amp;search_scope=EVERYTHING&amp;vid=01CRU&amp;lang=en_US&amp;offset=0&amp;query=any,contains,991003803739702656","Catalog Record")</f>
        <v/>
      </c>
      <c r="AV1158">
        <f>HYPERLINK("http://www.worldcat.org/oclc/6451218","WorldCat Record")</f>
        <v/>
      </c>
      <c r="AW1158" t="inlineStr">
        <is>
          <t>5088560:spa</t>
        </is>
      </c>
      <c r="AX1158" t="inlineStr">
        <is>
          <t>6451218</t>
        </is>
      </c>
      <c r="AY1158" t="inlineStr">
        <is>
          <t>991003803739702656</t>
        </is>
      </c>
      <c r="AZ1158" t="inlineStr">
        <is>
          <t>991003803739702656</t>
        </is>
      </c>
      <c r="BA1158" t="inlineStr">
        <is>
          <t>2260187330002656</t>
        </is>
      </c>
      <c r="BB1158" t="inlineStr">
        <is>
          <t>BOOK</t>
        </is>
      </c>
      <c r="BE1158" t="inlineStr">
        <is>
          <t>32285004485263</t>
        </is>
      </c>
      <c r="BF1158" t="inlineStr">
        <is>
          <t>893699434</t>
        </is>
      </c>
    </row>
    <row r="1159">
      <c r="A1159" t="inlineStr">
        <is>
          <t>No</t>
        </is>
      </c>
      <c r="B1159" t="inlineStr">
        <is>
          <t>CURAL</t>
        </is>
      </c>
      <c r="C1159" t="inlineStr">
        <is>
          <t>SHELVES</t>
        </is>
      </c>
      <c r="D1159" t="inlineStr">
        <is>
          <t>PQ8497.A65 R5 1998</t>
        </is>
      </c>
      <c r="E1159" t="inlineStr">
        <is>
          <t>0                      PQ 8497000A  65                 R  5           1998</t>
        </is>
      </c>
      <c r="F1159" t="inlineStr">
        <is>
          <t>Los ríos profundos / José María Arguedas.</t>
        </is>
      </c>
      <c r="H1159" t="inlineStr">
        <is>
          <t>No</t>
        </is>
      </c>
      <c r="I1159" t="inlineStr">
        <is>
          <t>1</t>
        </is>
      </c>
      <c r="J1159" t="inlineStr">
        <is>
          <t>No</t>
        </is>
      </c>
      <c r="K1159" t="inlineStr">
        <is>
          <t>Yes</t>
        </is>
      </c>
      <c r="L1159" t="inlineStr">
        <is>
          <t>0</t>
        </is>
      </c>
      <c r="M1159" t="inlineStr">
        <is>
          <t>Arguedas, José María.</t>
        </is>
      </c>
      <c r="N1159" t="inlineStr">
        <is>
          <t>Buenos Aires, Argentina : Losada, c1998.</t>
        </is>
      </c>
      <c r="O1159" t="inlineStr">
        <is>
          <t>1998</t>
        </is>
      </c>
      <c r="P1159" t="inlineStr">
        <is>
          <t>1a. ed.</t>
        </is>
      </c>
      <c r="Q1159" t="inlineStr">
        <is>
          <t>spa</t>
        </is>
      </c>
      <c r="R1159" t="inlineStr">
        <is>
          <t xml:space="preserve">ag </t>
        </is>
      </c>
      <c r="S1159" t="inlineStr">
        <is>
          <t>Biblioteca clásica y contemporánea</t>
        </is>
      </c>
      <c r="T1159" t="inlineStr">
        <is>
          <t xml:space="preserve">PQ </t>
        </is>
      </c>
      <c r="U1159" t="n">
        <v>1</v>
      </c>
      <c r="V1159" t="n">
        <v>1</v>
      </c>
      <c r="W1159" t="inlineStr">
        <is>
          <t>2000-09-05</t>
        </is>
      </c>
      <c r="X1159" t="inlineStr">
        <is>
          <t>2000-09-05</t>
        </is>
      </c>
      <c r="Y1159" t="inlineStr">
        <is>
          <t>2000-09-05</t>
        </is>
      </c>
      <c r="Z1159" t="inlineStr">
        <is>
          <t>2000-09-05</t>
        </is>
      </c>
      <c r="AA1159" t="n">
        <v>31</v>
      </c>
      <c r="AB1159" t="n">
        <v>27</v>
      </c>
      <c r="AC1159" t="n">
        <v>837</v>
      </c>
      <c r="AD1159" t="n">
        <v>1</v>
      </c>
      <c r="AE1159" t="n">
        <v>4</v>
      </c>
      <c r="AF1159" t="n">
        <v>0</v>
      </c>
      <c r="AG1159" t="n">
        <v>35</v>
      </c>
      <c r="AH1159" t="n">
        <v>0</v>
      </c>
      <c r="AI1159" t="n">
        <v>14</v>
      </c>
      <c r="AJ1159" t="n">
        <v>0</v>
      </c>
      <c r="AK1159" t="n">
        <v>9</v>
      </c>
      <c r="AL1159" t="n">
        <v>0</v>
      </c>
      <c r="AM1159" t="n">
        <v>18</v>
      </c>
      <c r="AN1159" t="n">
        <v>0</v>
      </c>
      <c r="AO1159" t="n">
        <v>3</v>
      </c>
      <c r="AP1159" t="n">
        <v>0</v>
      </c>
      <c r="AQ1159" t="n">
        <v>0</v>
      </c>
      <c r="AR1159" t="inlineStr">
        <is>
          <t>No</t>
        </is>
      </c>
      <c r="AS1159" t="inlineStr">
        <is>
          <t>No</t>
        </is>
      </c>
      <c r="AU1159">
        <f>HYPERLINK("https://creighton-primo.hosted.exlibrisgroup.com/primo-explore/search?tab=default_tab&amp;search_scope=EVERYTHING&amp;vid=01CRU&amp;lang=en_US&amp;offset=0&amp;query=any,contains,991003253479702656","Catalog Record")</f>
        <v/>
      </c>
      <c r="AV1159">
        <f>HYPERLINK("http://www.worldcat.org/oclc/42817066","WorldCat Record")</f>
        <v/>
      </c>
      <c r="AW1159" t="inlineStr">
        <is>
          <t>3373065729:spa</t>
        </is>
      </c>
      <c r="AX1159" t="inlineStr">
        <is>
          <t>42817066</t>
        </is>
      </c>
      <c r="AY1159" t="inlineStr">
        <is>
          <t>991003253479702656</t>
        </is>
      </c>
      <c r="AZ1159" t="inlineStr">
        <is>
          <t>991003253479702656</t>
        </is>
      </c>
      <c r="BA1159" t="inlineStr">
        <is>
          <t>2257457440002656</t>
        </is>
      </c>
      <c r="BB1159" t="inlineStr">
        <is>
          <t>BOOK</t>
        </is>
      </c>
      <c r="BD1159" t="inlineStr">
        <is>
          <t>9789500362474</t>
        </is>
      </c>
      <c r="BE1159" t="inlineStr">
        <is>
          <t>32285003760047</t>
        </is>
      </c>
      <c r="BF1159" t="inlineStr">
        <is>
          <t>893428599</t>
        </is>
      </c>
    </row>
    <row r="1160">
      <c r="A1160" t="inlineStr">
        <is>
          <t>No</t>
        </is>
      </c>
      <c r="B1160" t="inlineStr">
        <is>
          <t>CURAL</t>
        </is>
      </c>
      <c r="C1160" t="inlineStr">
        <is>
          <t>SHELVES</t>
        </is>
      </c>
      <c r="D1160" t="inlineStr">
        <is>
          <t>PQ8497.A65 Z74 1973</t>
        </is>
      </c>
      <c r="E1160" t="inlineStr">
        <is>
          <t>0                      PQ 8497000A  65                 Z  74          1973</t>
        </is>
      </c>
      <c r="F1160" t="inlineStr">
        <is>
          <t>La experiencia americana de José María Arguedas / Gladys C. Marín.</t>
        </is>
      </c>
      <c r="H1160" t="inlineStr">
        <is>
          <t>No</t>
        </is>
      </c>
      <c r="I1160" t="inlineStr">
        <is>
          <t>1</t>
        </is>
      </c>
      <c r="J1160" t="inlineStr">
        <is>
          <t>No</t>
        </is>
      </c>
      <c r="K1160" t="inlineStr">
        <is>
          <t>No</t>
        </is>
      </c>
      <c r="L1160" t="inlineStr">
        <is>
          <t>0</t>
        </is>
      </c>
      <c r="M1160" t="inlineStr">
        <is>
          <t>Marín, Gladys C.</t>
        </is>
      </c>
      <c r="N1160" t="inlineStr">
        <is>
          <t>Buenos Aires : F. García Cambeiro, c1973.</t>
        </is>
      </c>
      <c r="O1160" t="inlineStr">
        <is>
          <t>1973</t>
        </is>
      </c>
      <c r="Q1160" t="inlineStr">
        <is>
          <t>spa</t>
        </is>
      </c>
      <c r="R1160" t="inlineStr">
        <is>
          <t xml:space="preserve">ag </t>
        </is>
      </c>
      <c r="S1160" t="inlineStr">
        <is>
          <t>Colección Estudios latinoamericanos ; 7</t>
        </is>
      </c>
      <c r="T1160" t="inlineStr">
        <is>
          <t xml:space="preserve">PQ </t>
        </is>
      </c>
      <c r="U1160" t="n">
        <v>1</v>
      </c>
      <c r="V1160" t="n">
        <v>1</v>
      </c>
      <c r="W1160" t="inlineStr">
        <is>
          <t>2002-07-29</t>
        </is>
      </c>
      <c r="X1160" t="inlineStr">
        <is>
          <t>2002-07-29</t>
        </is>
      </c>
      <c r="Y1160" t="inlineStr">
        <is>
          <t>2002-07-29</t>
        </is>
      </c>
      <c r="Z1160" t="inlineStr">
        <is>
          <t>2002-07-29</t>
        </is>
      </c>
      <c r="AA1160" t="n">
        <v>265</v>
      </c>
      <c r="AB1160" t="n">
        <v>192</v>
      </c>
      <c r="AC1160" t="n">
        <v>197</v>
      </c>
      <c r="AD1160" t="n">
        <v>2</v>
      </c>
      <c r="AE1160" t="n">
        <v>2</v>
      </c>
      <c r="AF1160" t="n">
        <v>9</v>
      </c>
      <c r="AG1160" t="n">
        <v>9</v>
      </c>
      <c r="AH1160" t="n">
        <v>0</v>
      </c>
      <c r="AI1160" t="n">
        <v>0</v>
      </c>
      <c r="AJ1160" t="n">
        <v>4</v>
      </c>
      <c r="AK1160" t="n">
        <v>4</v>
      </c>
      <c r="AL1160" t="n">
        <v>7</v>
      </c>
      <c r="AM1160" t="n">
        <v>7</v>
      </c>
      <c r="AN1160" t="n">
        <v>1</v>
      </c>
      <c r="AO1160" t="n">
        <v>1</v>
      </c>
      <c r="AP1160" t="n">
        <v>0</v>
      </c>
      <c r="AQ1160" t="n">
        <v>0</v>
      </c>
      <c r="AR1160" t="inlineStr">
        <is>
          <t>No</t>
        </is>
      </c>
      <c r="AS1160" t="inlineStr">
        <is>
          <t>Yes</t>
        </is>
      </c>
      <c r="AT1160">
        <f>HYPERLINK("http://catalog.hathitrust.org/Record/000027132","HathiTrust Record")</f>
        <v/>
      </c>
      <c r="AU1160">
        <f>HYPERLINK("https://creighton-primo.hosted.exlibrisgroup.com/primo-explore/search?tab=default_tab&amp;search_scope=EVERYTHING&amp;vid=01CRU&amp;lang=en_US&amp;offset=0&amp;query=any,contains,991003846349702656","Catalog Record")</f>
        <v/>
      </c>
      <c r="AV1160">
        <f>HYPERLINK("http://www.worldcat.org/oclc/1084782","WorldCat Record")</f>
        <v/>
      </c>
      <c r="AW1160" t="inlineStr">
        <is>
          <t>365417997:spa</t>
        </is>
      </c>
      <c r="AX1160" t="inlineStr">
        <is>
          <t>1084782</t>
        </is>
      </c>
      <c r="AY1160" t="inlineStr">
        <is>
          <t>991003846349702656</t>
        </is>
      </c>
      <c r="AZ1160" t="inlineStr">
        <is>
          <t>991003846349702656</t>
        </is>
      </c>
      <c r="BA1160" t="inlineStr">
        <is>
          <t>2268933070002656</t>
        </is>
      </c>
      <c r="BB1160" t="inlineStr">
        <is>
          <t>BOOK</t>
        </is>
      </c>
      <c r="BE1160" t="inlineStr">
        <is>
          <t>32285004499843</t>
        </is>
      </c>
      <c r="BF1160" t="inlineStr">
        <is>
          <t>893531669</t>
        </is>
      </c>
    </row>
    <row r="1161">
      <c r="A1161" t="inlineStr">
        <is>
          <t>No</t>
        </is>
      </c>
      <c r="B1161" t="inlineStr">
        <is>
          <t>CURAL</t>
        </is>
      </c>
      <c r="C1161" t="inlineStr">
        <is>
          <t>SHELVES</t>
        </is>
      </c>
      <c r="D1161" t="inlineStr">
        <is>
          <t>PQ8497.M3 A9 1974</t>
        </is>
      </c>
      <c r="E1161" t="inlineStr">
        <is>
          <t>0                      PQ 8497000M  3                  A  9           1974</t>
        </is>
      </c>
      <c r="F1161" t="inlineStr">
        <is>
          <t>Aves sin nido / Clorinda Matto de Turner ; [prólogo: Antonio Cornejo Polar]</t>
        </is>
      </c>
      <c r="H1161" t="inlineStr">
        <is>
          <t>No</t>
        </is>
      </c>
      <c r="I1161" t="inlineStr">
        <is>
          <t>1</t>
        </is>
      </c>
      <c r="J1161" t="inlineStr">
        <is>
          <t>No</t>
        </is>
      </c>
      <c r="K1161" t="inlineStr">
        <is>
          <t>Yes</t>
        </is>
      </c>
      <c r="L1161" t="inlineStr">
        <is>
          <t>0</t>
        </is>
      </c>
      <c r="M1161" t="inlineStr">
        <is>
          <t>Matto de Turner, Clorinda, 1852-1909.</t>
        </is>
      </c>
      <c r="N1161" t="inlineStr">
        <is>
          <t>La Habana : Casa de las Américas, 1974.</t>
        </is>
      </c>
      <c r="O1161" t="inlineStr">
        <is>
          <t>1974</t>
        </is>
      </c>
      <c r="Q1161" t="inlineStr">
        <is>
          <t>spa</t>
        </is>
      </c>
      <c r="R1161" t="inlineStr">
        <is>
          <t xml:space="preserve">cu </t>
        </is>
      </c>
      <c r="S1161" t="inlineStr">
        <is>
          <t>Colección Literatura latinoamericana ; 71</t>
        </is>
      </c>
      <c r="T1161" t="inlineStr">
        <is>
          <t xml:space="preserve">PQ </t>
        </is>
      </c>
      <c r="U1161" t="n">
        <v>1</v>
      </c>
      <c r="V1161" t="n">
        <v>1</v>
      </c>
      <c r="W1161" t="inlineStr">
        <is>
          <t>2002-04-03</t>
        </is>
      </c>
      <c r="X1161" t="inlineStr">
        <is>
          <t>2002-04-03</t>
        </is>
      </c>
      <c r="Y1161" t="inlineStr">
        <is>
          <t>2002-03-13</t>
        </is>
      </c>
      <c r="Z1161" t="inlineStr">
        <is>
          <t>2002-03-13</t>
        </is>
      </c>
      <c r="AA1161" t="n">
        <v>46</v>
      </c>
      <c r="AB1161" t="n">
        <v>29</v>
      </c>
      <c r="AC1161" t="n">
        <v>628</v>
      </c>
      <c r="AD1161" t="n">
        <v>1</v>
      </c>
      <c r="AE1161" t="n">
        <v>3</v>
      </c>
      <c r="AF1161" t="n">
        <v>0</v>
      </c>
      <c r="AG1161" t="n">
        <v>25</v>
      </c>
      <c r="AH1161" t="n">
        <v>0</v>
      </c>
      <c r="AI1161" t="n">
        <v>9</v>
      </c>
      <c r="AJ1161" t="n">
        <v>0</v>
      </c>
      <c r="AK1161" t="n">
        <v>7</v>
      </c>
      <c r="AL1161" t="n">
        <v>0</v>
      </c>
      <c r="AM1161" t="n">
        <v>14</v>
      </c>
      <c r="AN1161" t="n">
        <v>0</v>
      </c>
      <c r="AO1161" t="n">
        <v>2</v>
      </c>
      <c r="AP1161" t="n">
        <v>0</v>
      </c>
      <c r="AQ1161" t="n">
        <v>0</v>
      </c>
      <c r="AR1161" t="inlineStr">
        <is>
          <t>No</t>
        </is>
      </c>
      <c r="AS1161" t="inlineStr">
        <is>
          <t>Yes</t>
        </is>
      </c>
      <c r="AT1161">
        <f>HYPERLINK("http://catalog.hathitrust.org/Record/000708107","HathiTrust Record")</f>
        <v/>
      </c>
      <c r="AU1161">
        <f>HYPERLINK("https://creighton-primo.hosted.exlibrisgroup.com/primo-explore/search?tab=default_tab&amp;search_scope=EVERYTHING&amp;vid=01CRU&amp;lang=en_US&amp;offset=0&amp;query=any,contains,991003762789702656","Catalog Record")</f>
        <v/>
      </c>
      <c r="AV1161">
        <f>HYPERLINK("http://www.worldcat.org/oclc/1898219","WorldCat Record")</f>
        <v/>
      </c>
      <c r="AW1161" t="inlineStr">
        <is>
          <t>597058:spa</t>
        </is>
      </c>
      <c r="AX1161" t="inlineStr">
        <is>
          <t>1898219</t>
        </is>
      </c>
      <c r="AY1161" t="inlineStr">
        <is>
          <t>991003762789702656</t>
        </is>
      </c>
      <c r="AZ1161" t="inlineStr">
        <is>
          <t>991003762789702656</t>
        </is>
      </c>
      <c r="BA1161" t="inlineStr">
        <is>
          <t>2264223530002656</t>
        </is>
      </c>
      <c r="BB1161" t="inlineStr">
        <is>
          <t>BOOK</t>
        </is>
      </c>
      <c r="BE1161" t="inlineStr">
        <is>
          <t>32285004460894</t>
        </is>
      </c>
      <c r="BF1161" t="inlineStr">
        <is>
          <t>893711753</t>
        </is>
      </c>
    </row>
    <row r="1162">
      <c r="A1162" t="inlineStr">
        <is>
          <t>No</t>
        </is>
      </c>
      <c r="B1162" t="inlineStr">
        <is>
          <t>CURAL</t>
        </is>
      </c>
      <c r="C1162" t="inlineStr">
        <is>
          <t>SHELVES</t>
        </is>
      </c>
      <c r="D1162" t="inlineStr">
        <is>
          <t>PQ8498.12.R94 A76 1999</t>
        </is>
      </c>
      <c r="E1162" t="inlineStr">
        <is>
          <t>0                      PQ 8498120R  94                 A  76          1999</t>
        </is>
      </c>
      <c r="F1162" t="inlineStr">
        <is>
          <t>La amigdalitis de Tarzán / Alfredo Bryce Echenique.</t>
        </is>
      </c>
      <c r="H1162" t="inlineStr">
        <is>
          <t>No</t>
        </is>
      </c>
      <c r="I1162" t="inlineStr">
        <is>
          <t>1</t>
        </is>
      </c>
      <c r="J1162" t="inlineStr">
        <is>
          <t>No</t>
        </is>
      </c>
      <c r="K1162" t="inlineStr">
        <is>
          <t>No</t>
        </is>
      </c>
      <c r="L1162" t="inlineStr">
        <is>
          <t>0</t>
        </is>
      </c>
      <c r="M1162" t="inlineStr">
        <is>
          <t>Bryce Echenique, Alfredo, 1939-</t>
        </is>
      </c>
      <c r="N1162" t="inlineStr">
        <is>
          <t>México, D.F. : Alfaguara, c1999.</t>
        </is>
      </c>
      <c r="O1162" t="inlineStr">
        <is>
          <t>1999</t>
        </is>
      </c>
      <c r="P1162" t="inlineStr">
        <is>
          <t>1a ed.</t>
        </is>
      </c>
      <c r="Q1162" t="inlineStr">
        <is>
          <t>spa</t>
        </is>
      </c>
      <c r="R1162" t="inlineStr">
        <is>
          <t xml:space="preserve">mx </t>
        </is>
      </c>
      <c r="T1162" t="inlineStr">
        <is>
          <t xml:space="preserve">PQ </t>
        </is>
      </c>
      <c r="U1162" t="n">
        <v>1</v>
      </c>
      <c r="V1162" t="n">
        <v>1</v>
      </c>
      <c r="W1162" t="inlineStr">
        <is>
          <t>2000-09-20</t>
        </is>
      </c>
      <c r="X1162" t="inlineStr">
        <is>
          <t>2000-09-20</t>
        </is>
      </c>
      <c r="Y1162" t="inlineStr">
        <is>
          <t>2000-09-20</t>
        </is>
      </c>
      <c r="Z1162" t="inlineStr">
        <is>
          <t>2000-09-20</t>
        </is>
      </c>
      <c r="AA1162" t="n">
        <v>134</v>
      </c>
      <c r="AB1162" t="n">
        <v>124</v>
      </c>
      <c r="AC1162" t="n">
        <v>269</v>
      </c>
      <c r="AD1162" t="n">
        <v>2</v>
      </c>
      <c r="AE1162" t="n">
        <v>3</v>
      </c>
      <c r="AF1162" t="n">
        <v>5</v>
      </c>
      <c r="AG1162" t="n">
        <v>10</v>
      </c>
      <c r="AH1162" t="n">
        <v>2</v>
      </c>
      <c r="AI1162" t="n">
        <v>2</v>
      </c>
      <c r="AJ1162" t="n">
        <v>1</v>
      </c>
      <c r="AK1162" t="n">
        <v>4</v>
      </c>
      <c r="AL1162" t="n">
        <v>1</v>
      </c>
      <c r="AM1162" t="n">
        <v>4</v>
      </c>
      <c r="AN1162" t="n">
        <v>1</v>
      </c>
      <c r="AO1162" t="n">
        <v>2</v>
      </c>
      <c r="AP1162" t="n">
        <v>0</v>
      </c>
      <c r="AQ1162" t="n">
        <v>0</v>
      </c>
      <c r="AR1162" t="inlineStr">
        <is>
          <t>No</t>
        </is>
      </c>
      <c r="AS1162" t="inlineStr">
        <is>
          <t>Yes</t>
        </is>
      </c>
      <c r="AT1162">
        <f>HYPERLINK("http://catalog.hathitrust.org/Record/007490226","HathiTrust Record")</f>
        <v/>
      </c>
      <c r="AU1162">
        <f>HYPERLINK("https://creighton-primo.hosted.exlibrisgroup.com/primo-explore/search?tab=default_tab&amp;search_scope=EVERYTHING&amp;vid=01CRU&amp;lang=en_US&amp;offset=0&amp;query=any,contains,991003253689702656","Catalog Record")</f>
        <v/>
      </c>
      <c r="AV1162">
        <f>HYPERLINK("http://www.worldcat.org/oclc/43333508","WorldCat Record")</f>
        <v/>
      </c>
      <c r="AW1162" t="inlineStr">
        <is>
          <t>35809805:spa</t>
        </is>
      </c>
      <c r="AX1162" t="inlineStr">
        <is>
          <t>43333508</t>
        </is>
      </c>
      <c r="AY1162" t="inlineStr">
        <is>
          <t>991003253689702656</t>
        </is>
      </c>
      <c r="AZ1162" t="inlineStr">
        <is>
          <t>991003253689702656</t>
        </is>
      </c>
      <c r="BA1162" t="inlineStr">
        <is>
          <t>2269456690002656</t>
        </is>
      </c>
      <c r="BB1162" t="inlineStr">
        <is>
          <t>BOOK</t>
        </is>
      </c>
      <c r="BD1162" t="inlineStr">
        <is>
          <t>9789681905620</t>
        </is>
      </c>
      <c r="BE1162" t="inlineStr">
        <is>
          <t>32285003763652</t>
        </is>
      </c>
      <c r="BF1162" t="inlineStr">
        <is>
          <t>893893538</t>
        </is>
      </c>
    </row>
    <row r="1163">
      <c r="A1163" t="inlineStr">
        <is>
          <t>No</t>
        </is>
      </c>
      <c r="B1163" t="inlineStr">
        <is>
          <t>CURAL</t>
        </is>
      </c>
      <c r="C1163" t="inlineStr">
        <is>
          <t>SHELVES</t>
        </is>
      </c>
      <c r="D1163" t="inlineStr">
        <is>
          <t>PQ8498.12.R94 Z8 1994</t>
        </is>
      </c>
      <c r="E1163" t="inlineStr">
        <is>
          <t>0                      PQ 8498120R  94                 Z  8           1994</t>
        </is>
      </c>
      <c r="F1163" t="inlineStr">
        <is>
          <t>El hilo del habla : la narrativa de Alfredo Bryce Echenique / Julio Ortega.</t>
        </is>
      </c>
      <c r="H1163" t="inlineStr">
        <is>
          <t>No</t>
        </is>
      </c>
      <c r="I1163" t="inlineStr">
        <is>
          <t>1</t>
        </is>
      </c>
      <c r="J1163" t="inlineStr">
        <is>
          <t>No</t>
        </is>
      </c>
      <c r="K1163" t="inlineStr">
        <is>
          <t>No</t>
        </is>
      </c>
      <c r="L1163" t="inlineStr">
        <is>
          <t>0</t>
        </is>
      </c>
      <c r="M1163" t="inlineStr">
        <is>
          <t>Ortega, Julio, 1942-</t>
        </is>
      </c>
      <c r="N1163" t="inlineStr">
        <is>
          <t>Guadalajara, Jalisco, México : Universidad de Guadalajara, 1994.</t>
        </is>
      </c>
      <c r="O1163" t="inlineStr">
        <is>
          <t>1994</t>
        </is>
      </c>
      <c r="P1163" t="inlineStr">
        <is>
          <t>1. ed.</t>
        </is>
      </c>
      <c r="Q1163" t="inlineStr">
        <is>
          <t>spa</t>
        </is>
      </c>
      <c r="R1163" t="inlineStr">
        <is>
          <t xml:space="preserve">mx </t>
        </is>
      </c>
      <c r="S1163" t="inlineStr">
        <is>
          <t>Colección del Centro de Estudios Literarios</t>
        </is>
      </c>
      <c r="T1163" t="inlineStr">
        <is>
          <t xml:space="preserve">PQ </t>
        </is>
      </c>
      <c r="U1163" t="n">
        <v>1</v>
      </c>
      <c r="V1163" t="n">
        <v>1</v>
      </c>
      <c r="W1163" t="inlineStr">
        <is>
          <t>1997-03-14</t>
        </is>
      </c>
      <c r="X1163" t="inlineStr">
        <is>
          <t>1997-03-14</t>
        </is>
      </c>
      <c r="Y1163" t="inlineStr">
        <is>
          <t>1997-03-05</t>
        </is>
      </c>
      <c r="Z1163" t="inlineStr">
        <is>
          <t>1997-03-05</t>
        </is>
      </c>
      <c r="AA1163" t="n">
        <v>128</v>
      </c>
      <c r="AB1163" t="n">
        <v>93</v>
      </c>
      <c r="AC1163" t="n">
        <v>93</v>
      </c>
      <c r="AD1163" t="n">
        <v>1</v>
      </c>
      <c r="AE1163" t="n">
        <v>1</v>
      </c>
      <c r="AF1163" t="n">
        <v>4</v>
      </c>
      <c r="AG1163" t="n">
        <v>4</v>
      </c>
      <c r="AH1163" t="n">
        <v>0</v>
      </c>
      <c r="AI1163" t="n">
        <v>0</v>
      </c>
      <c r="AJ1163" t="n">
        <v>3</v>
      </c>
      <c r="AK1163" t="n">
        <v>3</v>
      </c>
      <c r="AL1163" t="n">
        <v>3</v>
      </c>
      <c r="AM1163" t="n">
        <v>3</v>
      </c>
      <c r="AN1163" t="n">
        <v>0</v>
      </c>
      <c r="AO1163" t="n">
        <v>0</v>
      </c>
      <c r="AP1163" t="n">
        <v>0</v>
      </c>
      <c r="AQ1163" t="n">
        <v>0</v>
      </c>
      <c r="AR1163" t="inlineStr">
        <is>
          <t>No</t>
        </is>
      </c>
      <c r="AS1163" t="inlineStr">
        <is>
          <t>No</t>
        </is>
      </c>
      <c r="AU1163">
        <f>HYPERLINK("https://creighton-primo.hosted.exlibrisgroup.com/primo-explore/search?tab=default_tab&amp;search_scope=EVERYTHING&amp;vid=01CRU&amp;lang=en_US&amp;offset=0&amp;query=any,contains,991002400079702656","Catalog Record")</f>
        <v/>
      </c>
      <c r="AV1163">
        <f>HYPERLINK("http://www.worldcat.org/oclc/31197378","WorldCat Record")</f>
        <v/>
      </c>
      <c r="AW1163" t="inlineStr">
        <is>
          <t>351614040:spa</t>
        </is>
      </c>
      <c r="AX1163" t="inlineStr">
        <is>
          <t>31197378</t>
        </is>
      </c>
      <c r="AY1163" t="inlineStr">
        <is>
          <t>991002400079702656</t>
        </is>
      </c>
      <c r="AZ1163" t="inlineStr">
        <is>
          <t>991002400079702656</t>
        </is>
      </c>
      <c r="BA1163" t="inlineStr">
        <is>
          <t>2261898030002656</t>
        </is>
      </c>
      <c r="BB1163" t="inlineStr">
        <is>
          <t>BOOK</t>
        </is>
      </c>
      <c r="BD1163" t="inlineStr">
        <is>
          <t>9789688954133</t>
        </is>
      </c>
      <c r="BE1163" t="inlineStr">
        <is>
          <t>32285002440054</t>
        </is>
      </c>
      <c r="BF1163" t="inlineStr">
        <is>
          <t>893886230</t>
        </is>
      </c>
    </row>
    <row r="1164">
      <c r="A1164" t="inlineStr">
        <is>
          <t>No</t>
        </is>
      </c>
      <c r="B1164" t="inlineStr">
        <is>
          <t>CURAL</t>
        </is>
      </c>
      <c r="C1164" t="inlineStr">
        <is>
          <t>SHELVES</t>
        </is>
      </c>
      <c r="D1164" t="inlineStr">
        <is>
          <t>PQ8498.21.O76 O73 1995</t>
        </is>
      </c>
      <c r="E1164" t="inlineStr">
        <is>
          <t>0                      PQ 8498210O  76                 O  73          1995</t>
        </is>
      </c>
      <c r="F1164" t="inlineStr">
        <is>
          <t>Oraciones para un dios ausente / Martha Kornblith.</t>
        </is>
      </c>
      <c r="H1164" t="inlineStr">
        <is>
          <t>No</t>
        </is>
      </c>
      <c r="I1164" t="inlineStr">
        <is>
          <t>1</t>
        </is>
      </c>
      <c r="J1164" t="inlineStr">
        <is>
          <t>No</t>
        </is>
      </c>
      <c r="K1164" t="inlineStr">
        <is>
          <t>No</t>
        </is>
      </c>
      <c r="L1164" t="inlineStr">
        <is>
          <t>0</t>
        </is>
      </c>
      <c r="M1164" t="inlineStr">
        <is>
          <t>Kornblith, Marta, 1959-1997.</t>
        </is>
      </c>
      <c r="N1164" t="inlineStr">
        <is>
          <t>Caracas : Monte Avila Editores Latinoamericana, 1995.</t>
        </is>
      </c>
      <c r="O1164" t="inlineStr">
        <is>
          <t>1995</t>
        </is>
      </c>
      <c r="P1164" t="inlineStr">
        <is>
          <t>1a. ed.</t>
        </is>
      </c>
      <c r="Q1164" t="inlineStr">
        <is>
          <t>spa</t>
        </is>
      </c>
      <c r="R1164" t="inlineStr">
        <is>
          <t xml:space="preserve">ve </t>
        </is>
      </c>
      <c r="S1164" t="inlineStr">
        <is>
          <t>Colección Las Formas del fuego. Poesía</t>
        </is>
      </c>
      <c r="T1164" t="inlineStr">
        <is>
          <t xml:space="preserve">PQ </t>
        </is>
      </c>
      <c r="U1164" t="n">
        <v>1</v>
      </c>
      <c r="V1164" t="n">
        <v>1</v>
      </c>
      <c r="W1164" t="inlineStr">
        <is>
          <t>2002-07-29</t>
        </is>
      </c>
      <c r="X1164" t="inlineStr">
        <is>
          <t>2002-07-29</t>
        </is>
      </c>
      <c r="Y1164" t="inlineStr">
        <is>
          <t>2002-07-29</t>
        </is>
      </c>
      <c r="Z1164" t="inlineStr">
        <is>
          <t>2002-07-29</t>
        </is>
      </c>
      <c r="AA1164" t="n">
        <v>29</v>
      </c>
      <c r="AB1164" t="n">
        <v>23</v>
      </c>
      <c r="AC1164" t="n">
        <v>23</v>
      </c>
      <c r="AD1164" t="n">
        <v>1</v>
      </c>
      <c r="AE1164" t="n">
        <v>1</v>
      </c>
      <c r="AF1164" t="n">
        <v>0</v>
      </c>
      <c r="AG1164" t="n">
        <v>0</v>
      </c>
      <c r="AH1164" t="n">
        <v>0</v>
      </c>
      <c r="AI1164" t="n">
        <v>0</v>
      </c>
      <c r="AJ1164" t="n">
        <v>0</v>
      </c>
      <c r="AK1164" t="n">
        <v>0</v>
      </c>
      <c r="AL1164" t="n">
        <v>0</v>
      </c>
      <c r="AM1164" t="n">
        <v>0</v>
      </c>
      <c r="AN1164" t="n">
        <v>0</v>
      </c>
      <c r="AO1164" t="n">
        <v>0</v>
      </c>
      <c r="AP1164" t="n">
        <v>0</v>
      </c>
      <c r="AQ1164" t="n">
        <v>0</v>
      </c>
      <c r="AR1164" t="inlineStr">
        <is>
          <t>No</t>
        </is>
      </c>
      <c r="AS1164" t="inlineStr">
        <is>
          <t>No</t>
        </is>
      </c>
      <c r="AU1164">
        <f>HYPERLINK("https://creighton-primo.hosted.exlibrisgroup.com/primo-explore/search?tab=default_tab&amp;search_scope=EVERYTHING&amp;vid=01CRU&amp;lang=en_US&amp;offset=0&amp;query=any,contains,991003845649702656","Catalog Record")</f>
        <v/>
      </c>
      <c r="AV1164">
        <f>HYPERLINK("http://www.worldcat.org/oclc/34477588","WorldCat Record")</f>
        <v/>
      </c>
      <c r="AW1164" t="inlineStr">
        <is>
          <t>148027700:spa</t>
        </is>
      </c>
      <c r="AX1164" t="inlineStr">
        <is>
          <t>34477588</t>
        </is>
      </c>
      <c r="AY1164" t="inlineStr">
        <is>
          <t>991003845649702656</t>
        </is>
      </c>
      <c r="AZ1164" t="inlineStr">
        <is>
          <t>991003845649702656</t>
        </is>
      </c>
      <c r="BA1164" t="inlineStr">
        <is>
          <t>2264221510002656</t>
        </is>
      </c>
      <c r="BB1164" t="inlineStr">
        <is>
          <t>BOOK</t>
        </is>
      </c>
      <c r="BD1164" t="inlineStr">
        <is>
          <t>9789800108666</t>
        </is>
      </c>
      <c r="BE1164" t="inlineStr">
        <is>
          <t>32285004499611</t>
        </is>
      </c>
      <c r="BF1164" t="inlineStr">
        <is>
          <t>893324602</t>
        </is>
      </c>
    </row>
    <row r="1165">
      <c r="A1165" t="inlineStr">
        <is>
          <t>No</t>
        </is>
      </c>
      <c r="B1165" t="inlineStr">
        <is>
          <t>CURAL</t>
        </is>
      </c>
      <c r="C1165" t="inlineStr">
        <is>
          <t>SHELVES</t>
        </is>
      </c>
      <c r="D1165" t="inlineStr">
        <is>
          <t>PQ8498.32.A65 Z95 2001</t>
        </is>
      </c>
      <c r="E1165" t="inlineStr">
        <is>
          <t>0                      PQ 8498320A  65                 Z  95          2001</t>
        </is>
      </c>
      <c r="F1165" t="inlineStr">
        <is>
          <t>Vargas Llosa : otra historia de un deicidio / Raymond L. Williams.</t>
        </is>
      </c>
      <c r="H1165" t="inlineStr">
        <is>
          <t>No</t>
        </is>
      </c>
      <c r="I1165" t="inlineStr">
        <is>
          <t>1</t>
        </is>
      </c>
      <c r="J1165" t="inlineStr">
        <is>
          <t>No</t>
        </is>
      </c>
      <c r="K1165" t="inlineStr">
        <is>
          <t>No</t>
        </is>
      </c>
      <c r="L1165" t="inlineStr">
        <is>
          <t>0</t>
        </is>
      </c>
      <c r="M1165" t="inlineStr">
        <is>
          <t>Williams, Raymond L.</t>
        </is>
      </c>
      <c r="N1165" t="inlineStr">
        <is>
          <t>Col. del Valle, México, D.F. : Taurus : Universidad Nacional Autónoma de México, 2001.</t>
        </is>
      </c>
      <c r="O1165" t="inlineStr">
        <is>
          <t>2001</t>
        </is>
      </c>
      <c r="P1165" t="inlineStr">
        <is>
          <t>1. ed.</t>
        </is>
      </c>
      <c r="Q1165" t="inlineStr">
        <is>
          <t>spa</t>
        </is>
      </c>
      <c r="R1165" t="inlineStr">
        <is>
          <t xml:space="preserve">mx </t>
        </is>
      </c>
      <c r="T1165" t="inlineStr">
        <is>
          <t xml:space="preserve">PQ </t>
        </is>
      </c>
      <c r="U1165" t="n">
        <v>1</v>
      </c>
      <c r="V1165" t="n">
        <v>1</v>
      </c>
      <c r="W1165" t="inlineStr">
        <is>
          <t>2002-11-07</t>
        </is>
      </c>
      <c r="X1165" t="inlineStr">
        <is>
          <t>2002-11-07</t>
        </is>
      </c>
      <c r="Y1165" t="inlineStr">
        <is>
          <t>2002-11-07</t>
        </is>
      </c>
      <c r="Z1165" t="inlineStr">
        <is>
          <t>2002-11-07</t>
        </is>
      </c>
      <c r="AA1165" t="n">
        <v>195</v>
      </c>
      <c r="AB1165" t="n">
        <v>161</v>
      </c>
      <c r="AC1165" t="n">
        <v>169</v>
      </c>
      <c r="AD1165" t="n">
        <v>3</v>
      </c>
      <c r="AE1165" t="n">
        <v>3</v>
      </c>
      <c r="AF1165" t="n">
        <v>6</v>
      </c>
      <c r="AG1165" t="n">
        <v>6</v>
      </c>
      <c r="AH1165" t="n">
        <v>1</v>
      </c>
      <c r="AI1165" t="n">
        <v>1</v>
      </c>
      <c r="AJ1165" t="n">
        <v>2</v>
      </c>
      <c r="AK1165" t="n">
        <v>2</v>
      </c>
      <c r="AL1165" t="n">
        <v>4</v>
      </c>
      <c r="AM1165" t="n">
        <v>4</v>
      </c>
      <c r="AN1165" t="n">
        <v>2</v>
      </c>
      <c r="AO1165" t="n">
        <v>2</v>
      </c>
      <c r="AP1165" t="n">
        <v>0</v>
      </c>
      <c r="AQ1165" t="n">
        <v>0</v>
      </c>
      <c r="AR1165" t="inlineStr">
        <is>
          <t>No</t>
        </is>
      </c>
      <c r="AS1165" t="inlineStr">
        <is>
          <t>Yes</t>
        </is>
      </c>
      <c r="AT1165">
        <f>HYPERLINK("http://catalog.hathitrust.org/Record/004219423","HathiTrust Record")</f>
        <v/>
      </c>
      <c r="AU1165">
        <f>HYPERLINK("https://creighton-primo.hosted.exlibrisgroup.com/primo-explore/search?tab=default_tab&amp;search_scope=EVERYTHING&amp;vid=01CRU&amp;lang=en_US&amp;offset=0&amp;query=any,contains,991003924539702656","Catalog Record")</f>
        <v/>
      </c>
      <c r="AV1165">
        <f>HYPERLINK("http://www.worldcat.org/oclc/47767074","WorldCat Record")</f>
        <v/>
      </c>
      <c r="AW1165" t="inlineStr">
        <is>
          <t>35972412:spa</t>
        </is>
      </c>
      <c r="AX1165" t="inlineStr">
        <is>
          <t>47767074</t>
        </is>
      </c>
      <c r="AY1165" t="inlineStr">
        <is>
          <t>991003924539702656</t>
        </is>
      </c>
      <c r="AZ1165" t="inlineStr">
        <is>
          <t>991003924539702656</t>
        </is>
      </c>
      <c r="BA1165" t="inlineStr">
        <is>
          <t>2254849890002656</t>
        </is>
      </c>
      <c r="BB1165" t="inlineStr">
        <is>
          <t>BOOK</t>
        </is>
      </c>
      <c r="BD1165" t="inlineStr">
        <is>
          <t>9789681908140</t>
        </is>
      </c>
      <c r="BE1165" t="inlineStr">
        <is>
          <t>32285004661129</t>
        </is>
      </c>
      <c r="BF1165" t="inlineStr">
        <is>
          <t>893794270</t>
        </is>
      </c>
    </row>
    <row r="1166">
      <c r="A1166" t="inlineStr">
        <is>
          <t>No</t>
        </is>
      </c>
      <c r="B1166" t="inlineStr">
        <is>
          <t>CURAL</t>
        </is>
      </c>
      <c r="C1166" t="inlineStr">
        <is>
          <t>SHELVES</t>
        </is>
      </c>
      <c r="D1166" t="inlineStr">
        <is>
          <t>PQ8515 .F8</t>
        </is>
      </c>
      <c r="E1166" t="inlineStr">
        <is>
          <t>0                      PQ 8515000F  8</t>
        </is>
      </c>
      <c r="F1166" t="inlineStr">
        <is>
          <t>Antología y crítica de literatura uruguaya ... Prólogo de Raúl Montero Bustamante.</t>
        </is>
      </c>
      <c r="H1166" t="inlineStr">
        <is>
          <t>No</t>
        </is>
      </c>
      <c r="I1166" t="inlineStr">
        <is>
          <t>1</t>
        </is>
      </c>
      <c r="J1166" t="inlineStr">
        <is>
          <t>No</t>
        </is>
      </c>
      <c r="K1166" t="inlineStr">
        <is>
          <t>No</t>
        </is>
      </c>
      <c r="L1166" t="inlineStr">
        <is>
          <t>0</t>
        </is>
      </c>
      <c r="M1166" t="inlineStr">
        <is>
          <t>Fusco Sansone, Nicolás, 1904- editor.</t>
        </is>
      </c>
      <c r="N1166" t="inlineStr">
        <is>
          <t>Montevideo, C. García &amp; cía., 1940.</t>
        </is>
      </c>
      <c r="O1166" t="inlineStr">
        <is>
          <t>1940</t>
        </is>
      </c>
      <c r="Q1166" t="inlineStr">
        <is>
          <t>spa</t>
        </is>
      </c>
      <c r="R1166" t="inlineStr">
        <is>
          <t xml:space="preserve">uy </t>
        </is>
      </c>
      <c r="S1166" t="inlineStr">
        <is>
          <t>Colección Cultura</t>
        </is>
      </c>
      <c r="T1166" t="inlineStr">
        <is>
          <t xml:space="preserve">PQ </t>
        </is>
      </c>
      <c r="U1166" t="n">
        <v>1</v>
      </c>
      <c r="V1166" t="n">
        <v>1</v>
      </c>
      <c r="W1166" t="inlineStr">
        <is>
          <t>2001-11-07</t>
        </is>
      </c>
      <c r="X1166" t="inlineStr">
        <is>
          <t>2001-11-07</t>
        </is>
      </c>
      <c r="Y1166" t="inlineStr">
        <is>
          <t>1997-08-08</t>
        </is>
      </c>
      <c r="Z1166" t="inlineStr">
        <is>
          <t>1997-08-08</t>
        </is>
      </c>
      <c r="AA1166" t="n">
        <v>58</v>
      </c>
      <c r="AB1166" t="n">
        <v>49</v>
      </c>
      <c r="AC1166" t="n">
        <v>52</v>
      </c>
      <c r="AD1166" t="n">
        <v>1</v>
      </c>
      <c r="AE1166" t="n">
        <v>1</v>
      </c>
      <c r="AF1166" t="n">
        <v>1</v>
      </c>
      <c r="AG1166" t="n">
        <v>1</v>
      </c>
      <c r="AH1166" t="n">
        <v>0</v>
      </c>
      <c r="AI1166" t="n">
        <v>0</v>
      </c>
      <c r="AJ1166" t="n">
        <v>0</v>
      </c>
      <c r="AK1166" t="n">
        <v>0</v>
      </c>
      <c r="AL1166" t="n">
        <v>1</v>
      </c>
      <c r="AM1166" t="n">
        <v>1</v>
      </c>
      <c r="AN1166" t="n">
        <v>0</v>
      </c>
      <c r="AO1166" t="n">
        <v>0</v>
      </c>
      <c r="AP1166" t="n">
        <v>0</v>
      </c>
      <c r="AQ1166" t="n">
        <v>0</v>
      </c>
      <c r="AR1166" t="inlineStr">
        <is>
          <t>No</t>
        </is>
      </c>
      <c r="AS1166" t="inlineStr">
        <is>
          <t>Yes</t>
        </is>
      </c>
      <c r="AT1166">
        <f>HYPERLINK("http://catalog.hathitrust.org/Record/001048283","HathiTrust Record")</f>
        <v/>
      </c>
      <c r="AU1166">
        <f>HYPERLINK("https://creighton-primo.hosted.exlibrisgroup.com/primo-explore/search?tab=default_tab&amp;search_scope=EVERYTHING&amp;vid=01CRU&amp;lang=en_US&amp;offset=0&amp;query=any,contains,991004914179702656","Catalog Record")</f>
        <v/>
      </c>
      <c r="AV1166">
        <f>HYPERLINK("http://www.worldcat.org/oclc/6014196","WorldCat Record")</f>
        <v/>
      </c>
      <c r="AW1166" t="inlineStr">
        <is>
          <t>20651108:spa</t>
        </is>
      </c>
      <c r="AX1166" t="inlineStr">
        <is>
          <t>6014196</t>
        </is>
      </c>
      <c r="AY1166" t="inlineStr">
        <is>
          <t>991004914179702656</t>
        </is>
      </c>
      <c r="AZ1166" t="inlineStr">
        <is>
          <t>991004914179702656</t>
        </is>
      </c>
      <c r="BA1166" t="inlineStr">
        <is>
          <t>2267075230002656</t>
        </is>
      </c>
      <c r="BB1166" t="inlineStr">
        <is>
          <t>BOOK</t>
        </is>
      </c>
      <c r="BE1166" t="inlineStr">
        <is>
          <t>32285003062170</t>
        </is>
      </c>
      <c r="BF1166" t="inlineStr">
        <is>
          <t>893260314</t>
        </is>
      </c>
    </row>
    <row r="1167">
      <c r="A1167" t="inlineStr">
        <is>
          <t>No</t>
        </is>
      </c>
      <c r="B1167" t="inlineStr">
        <is>
          <t>CURAL</t>
        </is>
      </c>
      <c r="C1167" t="inlineStr">
        <is>
          <t>SHELVES</t>
        </is>
      </c>
      <c r="D1167" t="inlineStr">
        <is>
          <t>PQ8519.B292 G7 1980</t>
        </is>
      </c>
      <c r="E1167" t="inlineStr">
        <is>
          <t>0                      PQ 8519000B  292                G  7           1980</t>
        </is>
      </c>
      <c r="F1167" t="inlineStr">
        <is>
          <t>Gracias por el fuego / Mario Benedetti.</t>
        </is>
      </c>
      <c r="H1167" t="inlineStr">
        <is>
          <t>No</t>
        </is>
      </c>
      <c r="I1167" t="inlineStr">
        <is>
          <t>1</t>
        </is>
      </c>
      <c r="J1167" t="inlineStr">
        <is>
          <t>No</t>
        </is>
      </c>
      <c r="K1167" t="inlineStr">
        <is>
          <t>No</t>
        </is>
      </c>
      <c r="L1167" t="inlineStr">
        <is>
          <t>0</t>
        </is>
      </c>
      <c r="M1167" t="inlineStr">
        <is>
          <t>Benedetti, Mario, 1920-2009.</t>
        </is>
      </c>
      <c r="N1167" t="inlineStr">
        <is>
          <t>Bogotá : La Oveja Negra, 1980.</t>
        </is>
      </c>
      <c r="O1167" t="inlineStr">
        <is>
          <t>1980</t>
        </is>
      </c>
      <c r="P1167" t="inlineStr">
        <is>
          <t>1a ed. colombiana.</t>
        </is>
      </c>
      <c r="Q1167" t="inlineStr">
        <is>
          <t>spa</t>
        </is>
      </c>
      <c r="R1167" t="inlineStr">
        <is>
          <t xml:space="preserve">ck </t>
        </is>
      </c>
      <c r="T1167" t="inlineStr">
        <is>
          <t xml:space="preserve">PQ </t>
        </is>
      </c>
      <c r="U1167" t="n">
        <v>1</v>
      </c>
      <c r="V1167" t="n">
        <v>1</v>
      </c>
      <c r="W1167" t="inlineStr">
        <is>
          <t>2001-11-14</t>
        </is>
      </c>
      <c r="X1167" t="inlineStr">
        <is>
          <t>2001-11-14</t>
        </is>
      </c>
      <c r="Y1167" t="inlineStr">
        <is>
          <t>2001-11-13</t>
        </is>
      </c>
      <c r="Z1167" t="inlineStr">
        <is>
          <t>2001-11-13</t>
        </is>
      </c>
      <c r="AA1167" t="n">
        <v>16</v>
      </c>
      <c r="AB1167" t="n">
        <v>14</v>
      </c>
      <c r="AC1167" t="n">
        <v>569</v>
      </c>
      <c r="AD1167" t="n">
        <v>1</v>
      </c>
      <c r="AE1167" t="n">
        <v>5</v>
      </c>
      <c r="AF1167" t="n">
        <v>0</v>
      </c>
      <c r="AG1167" t="n">
        <v>13</v>
      </c>
      <c r="AH1167" t="n">
        <v>0</v>
      </c>
      <c r="AI1167" t="n">
        <v>1</v>
      </c>
      <c r="AJ1167" t="n">
        <v>0</v>
      </c>
      <c r="AK1167" t="n">
        <v>6</v>
      </c>
      <c r="AL1167" t="n">
        <v>0</v>
      </c>
      <c r="AM1167" t="n">
        <v>7</v>
      </c>
      <c r="AN1167" t="n">
        <v>0</v>
      </c>
      <c r="AO1167" t="n">
        <v>2</v>
      </c>
      <c r="AP1167" t="n">
        <v>0</v>
      </c>
      <c r="AQ1167" t="n">
        <v>0</v>
      </c>
      <c r="AR1167" t="inlineStr">
        <is>
          <t>No</t>
        </is>
      </c>
      <c r="AS1167" t="inlineStr">
        <is>
          <t>No</t>
        </is>
      </c>
      <c r="AU1167">
        <f>HYPERLINK("https://creighton-primo.hosted.exlibrisgroup.com/primo-explore/search?tab=default_tab&amp;search_scope=EVERYTHING&amp;vid=01CRU&amp;lang=en_US&amp;offset=0&amp;query=any,contains,991003677889702656","Catalog Record")</f>
        <v/>
      </c>
      <c r="AV1167">
        <f>HYPERLINK("http://www.worldcat.org/oclc/8869286","WorldCat Record")</f>
        <v/>
      </c>
      <c r="AW1167" t="inlineStr">
        <is>
          <t>4790754083:spa</t>
        </is>
      </c>
      <c r="AX1167" t="inlineStr">
        <is>
          <t>8869286</t>
        </is>
      </c>
      <c r="AY1167" t="inlineStr">
        <is>
          <t>991003677889702656</t>
        </is>
      </c>
      <c r="AZ1167" t="inlineStr">
        <is>
          <t>991003677889702656</t>
        </is>
      </c>
      <c r="BA1167" t="inlineStr">
        <is>
          <t>2254912400002656</t>
        </is>
      </c>
      <c r="BB1167" t="inlineStr">
        <is>
          <t>BOOK</t>
        </is>
      </c>
      <c r="BE1167" t="inlineStr">
        <is>
          <t>32285004411202</t>
        </is>
      </c>
      <c r="BF1167" t="inlineStr">
        <is>
          <t>893598843</t>
        </is>
      </c>
    </row>
    <row r="1168">
      <c r="A1168" t="inlineStr">
        <is>
          <t>No</t>
        </is>
      </c>
      <c r="B1168" t="inlineStr">
        <is>
          <t>CURAL</t>
        </is>
      </c>
      <c r="C1168" t="inlineStr">
        <is>
          <t>SHELVES</t>
        </is>
      </c>
      <c r="D1168" t="inlineStr">
        <is>
          <t>PQ8519.H34 Z64 1977</t>
        </is>
      </c>
      <c r="E1168" t="inlineStr">
        <is>
          <t>0                      PQ 8519000H  34                 Z  64          1977</t>
        </is>
      </c>
      <c r="F1168" t="inlineStr">
        <is>
          <t>Felisberto Hernández ante la crítica actual / Alain Sicard [editor].</t>
        </is>
      </c>
      <c r="H1168" t="inlineStr">
        <is>
          <t>No</t>
        </is>
      </c>
      <c r="I1168" t="inlineStr">
        <is>
          <t>1</t>
        </is>
      </c>
      <c r="J1168" t="inlineStr">
        <is>
          <t>No</t>
        </is>
      </c>
      <c r="K1168" t="inlineStr">
        <is>
          <t>No</t>
        </is>
      </c>
      <c r="L1168" t="inlineStr">
        <is>
          <t>0</t>
        </is>
      </c>
      <c r="N1168" t="inlineStr">
        <is>
          <t>Caracas : Monte Avila Editores, [1977]</t>
        </is>
      </c>
      <c r="O1168" t="inlineStr">
        <is>
          <t>1977</t>
        </is>
      </c>
      <c r="Q1168" t="inlineStr">
        <is>
          <t>spa</t>
        </is>
      </c>
      <c r="R1168" t="inlineStr">
        <is>
          <t xml:space="preserve">ve </t>
        </is>
      </c>
      <c r="S1168" t="inlineStr">
        <is>
          <t>Colección Estudios</t>
        </is>
      </c>
      <c r="T1168" t="inlineStr">
        <is>
          <t xml:space="preserve">PQ </t>
        </is>
      </c>
      <c r="U1168" t="n">
        <v>1</v>
      </c>
      <c r="V1168" t="n">
        <v>1</v>
      </c>
      <c r="W1168" t="inlineStr">
        <is>
          <t>2002-04-03</t>
        </is>
      </c>
      <c r="X1168" t="inlineStr">
        <is>
          <t>2002-04-03</t>
        </is>
      </c>
      <c r="Y1168" t="inlineStr">
        <is>
          <t>2002-03-05</t>
        </is>
      </c>
      <c r="Z1168" t="inlineStr">
        <is>
          <t>2002-03-05</t>
        </is>
      </c>
      <c r="AA1168" t="n">
        <v>132</v>
      </c>
      <c r="AB1168" t="n">
        <v>102</v>
      </c>
      <c r="AC1168" t="n">
        <v>105</v>
      </c>
      <c r="AD1168" t="n">
        <v>2</v>
      </c>
      <c r="AE1168" t="n">
        <v>2</v>
      </c>
      <c r="AF1168" t="n">
        <v>5</v>
      </c>
      <c r="AG1168" t="n">
        <v>5</v>
      </c>
      <c r="AH1168" t="n">
        <v>1</v>
      </c>
      <c r="AI1168" t="n">
        <v>1</v>
      </c>
      <c r="AJ1168" t="n">
        <v>3</v>
      </c>
      <c r="AK1168" t="n">
        <v>3</v>
      </c>
      <c r="AL1168" t="n">
        <v>2</v>
      </c>
      <c r="AM1168" t="n">
        <v>2</v>
      </c>
      <c r="AN1168" t="n">
        <v>1</v>
      </c>
      <c r="AO1168" t="n">
        <v>1</v>
      </c>
      <c r="AP1168" t="n">
        <v>0</v>
      </c>
      <c r="AQ1168" t="n">
        <v>0</v>
      </c>
      <c r="AR1168" t="inlineStr">
        <is>
          <t>No</t>
        </is>
      </c>
      <c r="AS1168" t="inlineStr">
        <is>
          <t>Yes</t>
        </is>
      </c>
      <c r="AT1168">
        <f>HYPERLINK("http://catalog.hathitrust.org/Record/101160814","HathiTrust Record")</f>
        <v/>
      </c>
      <c r="AU1168">
        <f>HYPERLINK("https://creighton-primo.hosted.exlibrisgroup.com/primo-explore/search?tab=default_tab&amp;search_scope=EVERYTHING&amp;vid=01CRU&amp;lang=en_US&amp;offset=0&amp;query=any,contains,991003757689702656","Catalog Record")</f>
        <v/>
      </c>
      <c r="AV1168">
        <f>HYPERLINK("http://www.worldcat.org/oclc/3966361","WorldCat Record")</f>
        <v/>
      </c>
      <c r="AW1168" t="inlineStr">
        <is>
          <t>13286766:spa</t>
        </is>
      </c>
      <c r="AX1168" t="inlineStr">
        <is>
          <t>3966361</t>
        </is>
      </c>
      <c r="AY1168" t="inlineStr">
        <is>
          <t>991003757689702656</t>
        </is>
      </c>
      <c r="AZ1168" t="inlineStr">
        <is>
          <t>991003757689702656</t>
        </is>
      </c>
      <c r="BA1168" t="inlineStr">
        <is>
          <t>2263871950002656</t>
        </is>
      </c>
      <c r="BB1168" t="inlineStr">
        <is>
          <t>BOOK</t>
        </is>
      </c>
      <c r="BE1168" t="inlineStr">
        <is>
          <t>32285004459615</t>
        </is>
      </c>
      <c r="BF1168" t="inlineStr">
        <is>
          <t>893435393</t>
        </is>
      </c>
    </row>
    <row r="1169">
      <c r="A1169" t="inlineStr">
        <is>
          <t>No</t>
        </is>
      </c>
      <c r="B1169" t="inlineStr">
        <is>
          <t>CURAL</t>
        </is>
      </c>
      <c r="C1169" t="inlineStr">
        <is>
          <t>SHELVES</t>
        </is>
      </c>
      <c r="D1169" t="inlineStr">
        <is>
          <t>PQ8519.O59 C78 1987</t>
        </is>
      </c>
      <c r="E1169" t="inlineStr">
        <is>
          <t>0                      PQ 8519000O  59                 C  78          1987</t>
        </is>
      </c>
      <c r="F1169" t="inlineStr">
        <is>
          <t>Cuando entonces / Juan Carlos Onetti.</t>
        </is>
      </c>
      <c r="H1169" t="inlineStr">
        <is>
          <t>No</t>
        </is>
      </c>
      <c r="I1169" t="inlineStr">
        <is>
          <t>1</t>
        </is>
      </c>
      <c r="J1169" t="inlineStr">
        <is>
          <t>No</t>
        </is>
      </c>
      <c r="K1169" t="inlineStr">
        <is>
          <t>No</t>
        </is>
      </c>
      <c r="L1169" t="inlineStr">
        <is>
          <t>0</t>
        </is>
      </c>
      <c r="M1169" t="inlineStr">
        <is>
          <t>Onetti, Juan Carlos, 1909-1994.</t>
        </is>
      </c>
      <c r="N1169" t="inlineStr">
        <is>
          <t>Madrid : Mondadori, c1987.</t>
        </is>
      </c>
      <c r="O1169" t="inlineStr">
        <is>
          <t>1987</t>
        </is>
      </c>
      <c r="Q1169" t="inlineStr">
        <is>
          <t>spa</t>
        </is>
      </c>
      <c r="R1169" t="inlineStr">
        <is>
          <t xml:space="preserve">sp </t>
        </is>
      </c>
      <c r="S1169" t="inlineStr">
        <is>
          <t>Narrativa Mondadori</t>
        </is>
      </c>
      <c r="T1169" t="inlineStr">
        <is>
          <t xml:space="preserve">PQ </t>
        </is>
      </c>
      <c r="U1169" t="n">
        <v>1</v>
      </c>
      <c r="V1169" t="n">
        <v>1</v>
      </c>
      <c r="W1169" t="inlineStr">
        <is>
          <t>1993-03-22</t>
        </is>
      </c>
      <c r="X1169" t="inlineStr">
        <is>
          <t>1993-03-22</t>
        </is>
      </c>
      <c r="Y1169" t="inlineStr">
        <is>
          <t>1993-03-16</t>
        </is>
      </c>
      <c r="Z1169" t="inlineStr">
        <is>
          <t>1993-03-16</t>
        </is>
      </c>
      <c r="AA1169" t="n">
        <v>200</v>
      </c>
      <c r="AB1169" t="n">
        <v>147</v>
      </c>
      <c r="AC1169" t="n">
        <v>221</v>
      </c>
      <c r="AD1169" t="n">
        <v>2</v>
      </c>
      <c r="AE1169" t="n">
        <v>2</v>
      </c>
      <c r="AF1169" t="n">
        <v>7</v>
      </c>
      <c r="AG1169" t="n">
        <v>11</v>
      </c>
      <c r="AH1169" t="n">
        <v>2</v>
      </c>
      <c r="AI1169" t="n">
        <v>2</v>
      </c>
      <c r="AJ1169" t="n">
        <v>2</v>
      </c>
      <c r="AK1169" t="n">
        <v>5</v>
      </c>
      <c r="AL1169" t="n">
        <v>3</v>
      </c>
      <c r="AM1169" t="n">
        <v>5</v>
      </c>
      <c r="AN1169" t="n">
        <v>1</v>
      </c>
      <c r="AO1169" t="n">
        <v>1</v>
      </c>
      <c r="AP1169" t="n">
        <v>0</v>
      </c>
      <c r="AQ1169" t="n">
        <v>0</v>
      </c>
      <c r="AR1169" t="inlineStr">
        <is>
          <t>No</t>
        </is>
      </c>
      <c r="AS1169" t="inlineStr">
        <is>
          <t>Yes</t>
        </is>
      </c>
      <c r="AT1169">
        <f>HYPERLINK("http://catalog.hathitrust.org/Record/000902018","HathiTrust Record")</f>
        <v/>
      </c>
      <c r="AU1169">
        <f>HYPERLINK("https://creighton-primo.hosted.exlibrisgroup.com/primo-explore/search?tab=default_tab&amp;search_scope=EVERYTHING&amp;vid=01CRU&amp;lang=en_US&amp;offset=0&amp;query=any,contains,991001264019702656","Catalog Record")</f>
        <v/>
      </c>
      <c r="AV1169">
        <f>HYPERLINK("http://www.worldcat.org/oclc/17792666","WorldCat Record")</f>
        <v/>
      </c>
      <c r="AW1169" t="inlineStr">
        <is>
          <t>148036927:spa</t>
        </is>
      </c>
      <c r="AX1169" t="inlineStr">
        <is>
          <t>17792666</t>
        </is>
      </c>
      <c r="AY1169" t="inlineStr">
        <is>
          <t>991001264019702656</t>
        </is>
      </c>
      <c r="AZ1169" t="inlineStr">
        <is>
          <t>991001264019702656</t>
        </is>
      </c>
      <c r="BA1169" t="inlineStr">
        <is>
          <t>2269815350002656</t>
        </is>
      </c>
      <c r="BB1169" t="inlineStr">
        <is>
          <t>BOOK</t>
        </is>
      </c>
      <c r="BD1169" t="inlineStr">
        <is>
          <t>9788439712008</t>
        </is>
      </c>
      <c r="BE1169" t="inlineStr">
        <is>
          <t>32285001497865</t>
        </is>
      </c>
      <c r="BF1169" t="inlineStr">
        <is>
          <t>893709143</t>
        </is>
      </c>
    </row>
    <row r="1170">
      <c r="A1170" t="inlineStr">
        <is>
          <t>No</t>
        </is>
      </c>
      <c r="B1170" t="inlineStr">
        <is>
          <t>CURAL</t>
        </is>
      </c>
      <c r="C1170" t="inlineStr">
        <is>
          <t>SHELVES</t>
        </is>
      </c>
      <c r="D1170" t="inlineStr">
        <is>
          <t>PQ8519.O59 P34 1978</t>
        </is>
      </c>
      <c r="E1170" t="inlineStr">
        <is>
          <t>0                      PQ 8519000O  59                 P  34          1978</t>
        </is>
      </c>
      <c r="F1170" t="inlineStr">
        <is>
          <t>Para una tumba sin nombre / Juan Carlos Onetti ; estudio preliminar por Josefina Ludmer.</t>
        </is>
      </c>
      <c r="H1170" t="inlineStr">
        <is>
          <t>No</t>
        </is>
      </c>
      <c r="I1170" t="inlineStr">
        <is>
          <t>1</t>
        </is>
      </c>
      <c r="J1170" t="inlineStr">
        <is>
          <t>No</t>
        </is>
      </c>
      <c r="K1170" t="inlineStr">
        <is>
          <t>No</t>
        </is>
      </c>
      <c r="L1170" t="inlineStr">
        <is>
          <t>0</t>
        </is>
      </c>
      <c r="M1170" t="inlineStr">
        <is>
          <t>Onetti, Juan Carlos, 1909-1994.</t>
        </is>
      </c>
      <c r="N1170" t="inlineStr">
        <is>
          <t>Barcelona : EDHASA, c1978.</t>
        </is>
      </c>
      <c r="O1170" t="inlineStr">
        <is>
          <t>1978</t>
        </is>
      </c>
      <c r="Q1170" t="inlineStr">
        <is>
          <t>spa</t>
        </is>
      </c>
      <c r="R1170" t="inlineStr">
        <is>
          <t xml:space="preserve">sp </t>
        </is>
      </c>
      <c r="S1170" t="inlineStr">
        <is>
          <t>Pocket Edhasa ; 17</t>
        </is>
      </c>
      <c r="T1170" t="inlineStr">
        <is>
          <t xml:space="preserve">PQ </t>
        </is>
      </c>
      <c r="U1170" t="n">
        <v>1</v>
      </c>
      <c r="V1170" t="n">
        <v>1</v>
      </c>
      <c r="W1170" t="inlineStr">
        <is>
          <t>1995-01-26</t>
        </is>
      </c>
      <c r="X1170" t="inlineStr">
        <is>
          <t>1995-01-26</t>
        </is>
      </c>
      <c r="Y1170" t="inlineStr">
        <is>
          <t>1991-08-13</t>
        </is>
      </c>
      <c r="Z1170" t="inlineStr">
        <is>
          <t>1991-08-13</t>
        </is>
      </c>
      <c r="AA1170" t="n">
        <v>53</v>
      </c>
      <c r="AB1170" t="n">
        <v>41</v>
      </c>
      <c r="AC1170" t="n">
        <v>236</v>
      </c>
      <c r="AD1170" t="n">
        <v>1</v>
      </c>
      <c r="AE1170" t="n">
        <v>2</v>
      </c>
      <c r="AF1170" t="n">
        <v>1</v>
      </c>
      <c r="AG1170" t="n">
        <v>11</v>
      </c>
      <c r="AH1170" t="n">
        <v>0</v>
      </c>
      <c r="AI1170" t="n">
        <v>0</v>
      </c>
      <c r="AJ1170" t="n">
        <v>1</v>
      </c>
      <c r="AK1170" t="n">
        <v>4</v>
      </c>
      <c r="AL1170" t="n">
        <v>0</v>
      </c>
      <c r="AM1170" t="n">
        <v>8</v>
      </c>
      <c r="AN1170" t="n">
        <v>0</v>
      </c>
      <c r="AO1170" t="n">
        <v>1</v>
      </c>
      <c r="AP1170" t="n">
        <v>0</v>
      </c>
      <c r="AQ1170" t="n">
        <v>0</v>
      </c>
      <c r="AR1170" t="inlineStr">
        <is>
          <t>No</t>
        </is>
      </c>
      <c r="AS1170" t="inlineStr">
        <is>
          <t>Yes</t>
        </is>
      </c>
      <c r="AT1170">
        <f>HYPERLINK("http://catalog.hathitrust.org/Record/007923613","HathiTrust Record")</f>
        <v/>
      </c>
      <c r="AU1170">
        <f>HYPERLINK("https://creighton-primo.hosted.exlibrisgroup.com/primo-explore/search?tab=default_tab&amp;search_scope=EVERYTHING&amp;vid=01CRU&amp;lang=en_US&amp;offset=0&amp;query=any,contains,991004700509702656","Catalog Record")</f>
        <v/>
      </c>
      <c r="AV1170">
        <f>HYPERLINK("http://www.worldcat.org/oclc/4666339","WorldCat Record")</f>
        <v/>
      </c>
      <c r="AW1170" t="inlineStr">
        <is>
          <t>148038627:spa</t>
        </is>
      </c>
      <c r="AX1170" t="inlineStr">
        <is>
          <t>4666339</t>
        </is>
      </c>
      <c r="AY1170" t="inlineStr">
        <is>
          <t>991004700509702656</t>
        </is>
      </c>
      <c r="AZ1170" t="inlineStr">
        <is>
          <t>991004700509702656</t>
        </is>
      </c>
      <c r="BA1170" t="inlineStr">
        <is>
          <t>2257945620002656</t>
        </is>
      </c>
      <c r="BB1170" t="inlineStr">
        <is>
          <t>BOOK</t>
        </is>
      </c>
      <c r="BD1170" t="inlineStr">
        <is>
          <t>9788435002134</t>
        </is>
      </c>
      <c r="BE1170" t="inlineStr">
        <is>
          <t>32285000684331</t>
        </is>
      </c>
      <c r="BF1170" t="inlineStr">
        <is>
          <t>893624985</t>
        </is>
      </c>
    </row>
    <row r="1171">
      <c r="A1171" t="inlineStr">
        <is>
          <t>No</t>
        </is>
      </c>
      <c r="B1171" t="inlineStr">
        <is>
          <t>CURAL</t>
        </is>
      </c>
      <c r="C1171" t="inlineStr">
        <is>
          <t>SHELVES</t>
        </is>
      </c>
      <c r="D1171" t="inlineStr">
        <is>
          <t>PQ8519.O59 Z76 1977</t>
        </is>
      </c>
      <c r="E1171" t="inlineStr">
        <is>
          <t>0                      PQ 8519000O  59                 Z  76          1977</t>
        </is>
      </c>
      <c r="F1171" t="inlineStr">
        <is>
          <t>Onetti : los procesos de construcciaon del relato / Josefina Ludmer.</t>
        </is>
      </c>
      <c r="H1171" t="inlineStr">
        <is>
          <t>No</t>
        </is>
      </c>
      <c r="I1171" t="inlineStr">
        <is>
          <t>1</t>
        </is>
      </c>
      <c r="J1171" t="inlineStr">
        <is>
          <t>No</t>
        </is>
      </c>
      <c r="K1171" t="inlineStr">
        <is>
          <t>No</t>
        </is>
      </c>
      <c r="L1171" t="inlineStr">
        <is>
          <t>0</t>
        </is>
      </c>
      <c r="M1171" t="inlineStr">
        <is>
          <t>Ludmer, Josefina.</t>
        </is>
      </c>
      <c r="N1171" t="inlineStr">
        <is>
          <t>Buenos Aires : Editorial Sudamericana, c1977.</t>
        </is>
      </c>
      <c r="O1171" t="inlineStr">
        <is>
          <t>1977</t>
        </is>
      </c>
      <c r="Q1171" t="inlineStr">
        <is>
          <t>spa</t>
        </is>
      </c>
      <c r="R1171" t="inlineStr">
        <is>
          <t xml:space="preserve">ag </t>
        </is>
      </c>
      <c r="T1171" t="inlineStr">
        <is>
          <t xml:space="preserve">PQ </t>
        </is>
      </c>
      <c r="U1171" t="n">
        <v>1</v>
      </c>
      <c r="V1171" t="n">
        <v>1</v>
      </c>
      <c r="W1171" t="inlineStr">
        <is>
          <t>2004-08-05</t>
        </is>
      </c>
      <c r="X1171" t="inlineStr">
        <is>
          <t>2004-08-05</t>
        </is>
      </c>
      <c r="Y1171" t="inlineStr">
        <is>
          <t>2004-08-05</t>
        </is>
      </c>
      <c r="Z1171" t="inlineStr">
        <is>
          <t>2004-08-05</t>
        </is>
      </c>
      <c r="AA1171" t="n">
        <v>200</v>
      </c>
      <c r="AB1171" t="n">
        <v>155</v>
      </c>
      <c r="AC1171" t="n">
        <v>176</v>
      </c>
      <c r="AD1171" t="n">
        <v>3</v>
      </c>
      <c r="AE1171" t="n">
        <v>3</v>
      </c>
      <c r="AF1171" t="n">
        <v>7</v>
      </c>
      <c r="AG1171" t="n">
        <v>7</v>
      </c>
      <c r="AH1171" t="n">
        <v>0</v>
      </c>
      <c r="AI1171" t="n">
        <v>0</v>
      </c>
      <c r="AJ1171" t="n">
        <v>3</v>
      </c>
      <c r="AK1171" t="n">
        <v>3</v>
      </c>
      <c r="AL1171" t="n">
        <v>4</v>
      </c>
      <c r="AM1171" t="n">
        <v>4</v>
      </c>
      <c r="AN1171" t="n">
        <v>2</v>
      </c>
      <c r="AO1171" t="n">
        <v>2</v>
      </c>
      <c r="AP1171" t="n">
        <v>0</v>
      </c>
      <c r="AQ1171" t="n">
        <v>0</v>
      </c>
      <c r="AR1171" t="inlineStr">
        <is>
          <t>No</t>
        </is>
      </c>
      <c r="AS1171" t="inlineStr">
        <is>
          <t>Yes</t>
        </is>
      </c>
      <c r="AT1171">
        <f>HYPERLINK("http://catalog.hathitrust.org/Record/000750930","HathiTrust Record")</f>
        <v/>
      </c>
      <c r="AU1171">
        <f>HYPERLINK("https://creighton-primo.hosted.exlibrisgroup.com/primo-explore/search?tab=default_tab&amp;search_scope=EVERYTHING&amp;vid=01CRU&amp;lang=en_US&amp;offset=0&amp;query=any,contains,991004339469702656","Catalog Record")</f>
        <v/>
      </c>
      <c r="AV1171">
        <f>HYPERLINK("http://www.worldcat.org/oclc/3382009","WorldCat Record")</f>
        <v/>
      </c>
      <c r="AW1171" t="inlineStr">
        <is>
          <t>796697754:spa</t>
        </is>
      </c>
      <c r="AX1171" t="inlineStr">
        <is>
          <t>3382009</t>
        </is>
      </c>
      <c r="AY1171" t="inlineStr">
        <is>
          <t>991004339469702656</t>
        </is>
      </c>
      <c r="AZ1171" t="inlineStr">
        <is>
          <t>991004339469702656</t>
        </is>
      </c>
      <c r="BA1171" t="inlineStr">
        <is>
          <t>2267325870002656</t>
        </is>
      </c>
      <c r="BB1171" t="inlineStr">
        <is>
          <t>BOOK</t>
        </is>
      </c>
      <c r="BE1171" t="inlineStr">
        <is>
          <t>32285004929344</t>
        </is>
      </c>
      <c r="BF1171" t="inlineStr">
        <is>
          <t>893693825</t>
        </is>
      </c>
    </row>
    <row r="1172">
      <c r="A1172" t="inlineStr">
        <is>
          <t>No</t>
        </is>
      </c>
      <c r="B1172" t="inlineStr">
        <is>
          <t>CURAL</t>
        </is>
      </c>
      <c r="C1172" t="inlineStr">
        <is>
          <t>SHELVES</t>
        </is>
      </c>
      <c r="D1172" t="inlineStr">
        <is>
          <t>PQ8519.Q5 C8 1968</t>
        </is>
      </c>
      <c r="E1172" t="inlineStr">
        <is>
          <t>0                      PQ 8519000Q  5                  C  8           1968</t>
        </is>
      </c>
      <c r="F1172" t="inlineStr">
        <is>
          <t>Cuentos / Horacio Quiroga ; selección según orden cronológico, estudio preliminar y notas crtíticas e informativas por Raimundo Lazo.</t>
        </is>
      </c>
      <c r="H1172" t="inlineStr">
        <is>
          <t>No</t>
        </is>
      </c>
      <c r="I1172" t="inlineStr">
        <is>
          <t>1</t>
        </is>
      </c>
      <c r="J1172" t="inlineStr">
        <is>
          <t>No</t>
        </is>
      </c>
      <c r="K1172" t="inlineStr">
        <is>
          <t>No</t>
        </is>
      </c>
      <c r="L1172" t="inlineStr">
        <is>
          <t>0</t>
        </is>
      </c>
      <c r="M1172" t="inlineStr">
        <is>
          <t>Quiroga, Horacio, 1878-1937.</t>
        </is>
      </c>
      <c r="N1172" t="inlineStr">
        <is>
          <t>México : Editorial Porrúa, 1968.</t>
        </is>
      </c>
      <c r="O1172" t="inlineStr">
        <is>
          <t>1968</t>
        </is>
      </c>
      <c r="Q1172" t="inlineStr">
        <is>
          <t>spa</t>
        </is>
      </c>
      <c r="R1172" t="inlineStr">
        <is>
          <t xml:space="preserve">mx </t>
        </is>
      </c>
      <c r="S1172" t="inlineStr">
        <is>
          <t>Colección "Sepan cuantos" ; 97</t>
        </is>
      </c>
      <c r="T1172" t="inlineStr">
        <is>
          <t xml:space="preserve">PQ </t>
        </is>
      </c>
      <c r="U1172" t="n">
        <v>1</v>
      </c>
      <c r="V1172" t="n">
        <v>1</v>
      </c>
      <c r="W1172" t="inlineStr">
        <is>
          <t>2001-09-17</t>
        </is>
      </c>
      <c r="X1172" t="inlineStr">
        <is>
          <t>2001-09-17</t>
        </is>
      </c>
      <c r="Y1172" t="inlineStr">
        <is>
          <t>1997-08-08</t>
        </is>
      </c>
      <c r="Z1172" t="inlineStr">
        <is>
          <t>1997-08-08</t>
        </is>
      </c>
      <c r="AA1172" t="n">
        <v>137</v>
      </c>
      <c r="AB1172" t="n">
        <v>111</v>
      </c>
      <c r="AC1172" t="n">
        <v>261</v>
      </c>
      <c r="AD1172" t="n">
        <v>2</v>
      </c>
      <c r="AE1172" t="n">
        <v>3</v>
      </c>
      <c r="AF1172" t="n">
        <v>4</v>
      </c>
      <c r="AG1172" t="n">
        <v>10</v>
      </c>
      <c r="AH1172" t="n">
        <v>1</v>
      </c>
      <c r="AI1172" t="n">
        <v>3</v>
      </c>
      <c r="AJ1172" t="n">
        <v>2</v>
      </c>
      <c r="AK1172" t="n">
        <v>5</v>
      </c>
      <c r="AL1172" t="n">
        <v>0</v>
      </c>
      <c r="AM1172" t="n">
        <v>3</v>
      </c>
      <c r="AN1172" t="n">
        <v>1</v>
      </c>
      <c r="AO1172" t="n">
        <v>2</v>
      </c>
      <c r="AP1172" t="n">
        <v>0</v>
      </c>
      <c r="AQ1172" t="n">
        <v>0</v>
      </c>
      <c r="AR1172" t="inlineStr">
        <is>
          <t>No</t>
        </is>
      </c>
      <c r="AS1172" t="inlineStr">
        <is>
          <t>Yes</t>
        </is>
      </c>
      <c r="AT1172">
        <f>HYPERLINK("http://catalog.hathitrust.org/Record/007112271","HathiTrust Record")</f>
        <v/>
      </c>
      <c r="AU1172">
        <f>HYPERLINK("https://creighton-primo.hosted.exlibrisgroup.com/primo-explore/search?tab=default_tab&amp;search_scope=EVERYTHING&amp;vid=01CRU&amp;lang=en_US&amp;offset=0&amp;query=any,contains,991003230539702656","Catalog Record")</f>
        <v/>
      </c>
      <c r="AV1172">
        <f>HYPERLINK("http://www.worldcat.org/oclc/755305","WorldCat Record")</f>
        <v/>
      </c>
      <c r="AW1172" t="inlineStr">
        <is>
          <t>1862911695:spa</t>
        </is>
      </c>
      <c r="AX1172" t="inlineStr">
        <is>
          <t>755305</t>
        </is>
      </c>
      <c r="AY1172" t="inlineStr">
        <is>
          <t>991003230539702656</t>
        </is>
      </c>
      <c r="AZ1172" t="inlineStr">
        <is>
          <t>991003230539702656</t>
        </is>
      </c>
      <c r="BA1172" t="inlineStr">
        <is>
          <t>2267160290002656</t>
        </is>
      </c>
      <c r="BB1172" t="inlineStr">
        <is>
          <t>BOOK</t>
        </is>
      </c>
      <c r="BD1172" t="inlineStr">
        <is>
          <t>9789684320772</t>
        </is>
      </c>
      <c r="BE1172" t="inlineStr">
        <is>
          <t>32285003062253</t>
        </is>
      </c>
      <c r="BF1172" t="inlineStr">
        <is>
          <t>893323893</t>
        </is>
      </c>
    </row>
    <row r="1173">
      <c r="A1173" t="inlineStr">
        <is>
          <t>No</t>
        </is>
      </c>
      <c r="B1173" t="inlineStr">
        <is>
          <t>CURAL</t>
        </is>
      </c>
      <c r="C1173" t="inlineStr">
        <is>
          <t>SHELVES</t>
        </is>
      </c>
      <c r="D1173" t="inlineStr">
        <is>
          <t>PQ8519.V4 Z68</t>
        </is>
      </c>
      <c r="E1173" t="inlineStr">
        <is>
          <t>0                      PQ 8519000V  4                  Z  68</t>
        </is>
      </c>
      <c r="F1173" t="inlineStr">
        <is>
          <t>Javier de Viana / by John F. Garganigo.</t>
        </is>
      </c>
      <c r="H1173" t="inlineStr">
        <is>
          <t>No</t>
        </is>
      </c>
      <c r="I1173" t="inlineStr">
        <is>
          <t>1</t>
        </is>
      </c>
      <c r="J1173" t="inlineStr">
        <is>
          <t>No</t>
        </is>
      </c>
      <c r="K1173" t="inlineStr">
        <is>
          <t>No</t>
        </is>
      </c>
      <c r="L1173" t="inlineStr">
        <is>
          <t>0</t>
        </is>
      </c>
      <c r="M1173" t="inlineStr">
        <is>
          <t>Garganigo, John F., 1937-</t>
        </is>
      </c>
      <c r="N1173" t="inlineStr">
        <is>
          <t>New York : Twayne, [1972]</t>
        </is>
      </c>
      <c r="O1173" t="inlineStr">
        <is>
          <t>1972</t>
        </is>
      </c>
      <c r="Q1173" t="inlineStr">
        <is>
          <t>eng</t>
        </is>
      </c>
      <c r="R1173" t="inlineStr">
        <is>
          <t>nyu</t>
        </is>
      </c>
      <c r="S1173" t="inlineStr">
        <is>
          <t>Twayne's world authors series, TWAS 226. Uruguay</t>
        </is>
      </c>
      <c r="T1173" t="inlineStr">
        <is>
          <t xml:space="preserve">PQ </t>
        </is>
      </c>
      <c r="U1173" t="n">
        <v>1</v>
      </c>
      <c r="V1173" t="n">
        <v>1</v>
      </c>
      <c r="W1173" t="inlineStr">
        <is>
          <t>2001-11-07</t>
        </is>
      </c>
      <c r="X1173" t="inlineStr">
        <is>
          <t>2001-11-07</t>
        </is>
      </c>
      <c r="Y1173" t="inlineStr">
        <is>
          <t>1991-08-13</t>
        </is>
      </c>
      <c r="Z1173" t="inlineStr">
        <is>
          <t>1991-08-13</t>
        </is>
      </c>
      <c r="AA1173" t="n">
        <v>585</v>
      </c>
      <c r="AB1173" t="n">
        <v>520</v>
      </c>
      <c r="AC1173" t="n">
        <v>527</v>
      </c>
      <c r="AD1173" t="n">
        <v>4</v>
      </c>
      <c r="AE1173" t="n">
        <v>4</v>
      </c>
      <c r="AF1173" t="n">
        <v>27</v>
      </c>
      <c r="AG1173" t="n">
        <v>27</v>
      </c>
      <c r="AH1173" t="n">
        <v>11</v>
      </c>
      <c r="AI1173" t="n">
        <v>11</v>
      </c>
      <c r="AJ1173" t="n">
        <v>7</v>
      </c>
      <c r="AK1173" t="n">
        <v>7</v>
      </c>
      <c r="AL1173" t="n">
        <v>13</v>
      </c>
      <c r="AM1173" t="n">
        <v>13</v>
      </c>
      <c r="AN1173" t="n">
        <v>3</v>
      </c>
      <c r="AO1173" t="n">
        <v>3</v>
      </c>
      <c r="AP1173" t="n">
        <v>0</v>
      </c>
      <c r="AQ1173" t="n">
        <v>0</v>
      </c>
      <c r="AR1173" t="inlineStr">
        <is>
          <t>No</t>
        </is>
      </c>
      <c r="AS1173" t="inlineStr">
        <is>
          <t>Yes</t>
        </is>
      </c>
      <c r="AT1173">
        <f>HYPERLINK("http://catalog.hathitrust.org/Record/001056567","HathiTrust Record")</f>
        <v/>
      </c>
      <c r="AU1173">
        <f>HYPERLINK("https://creighton-primo.hosted.exlibrisgroup.com/primo-explore/search?tab=default_tab&amp;search_scope=EVERYTHING&amp;vid=01CRU&amp;lang=en_US&amp;offset=0&amp;query=any,contains,991002936429702656","Catalog Record")</f>
        <v/>
      </c>
      <c r="AV1173">
        <f>HYPERLINK("http://www.worldcat.org/oclc/533483","WorldCat Record")</f>
        <v/>
      </c>
      <c r="AW1173" t="inlineStr">
        <is>
          <t>3769039259:eng</t>
        </is>
      </c>
      <c r="AX1173" t="inlineStr">
        <is>
          <t>533483</t>
        </is>
      </c>
      <c r="AY1173" t="inlineStr">
        <is>
          <t>991002936429702656</t>
        </is>
      </c>
      <c r="AZ1173" t="inlineStr">
        <is>
          <t>991002936429702656</t>
        </is>
      </c>
      <c r="BA1173" t="inlineStr">
        <is>
          <t>2264370320002656</t>
        </is>
      </c>
      <c r="BB1173" t="inlineStr">
        <is>
          <t>BOOK</t>
        </is>
      </c>
      <c r="BE1173" t="inlineStr">
        <is>
          <t>32285000684356</t>
        </is>
      </c>
      <c r="BF1173" t="inlineStr">
        <is>
          <t>893692185</t>
        </is>
      </c>
    </row>
    <row r="1174">
      <c r="A1174" t="inlineStr">
        <is>
          <t>No</t>
        </is>
      </c>
      <c r="B1174" t="inlineStr">
        <is>
          <t>CURAL</t>
        </is>
      </c>
      <c r="C1174" t="inlineStr">
        <is>
          <t>SHELVES</t>
        </is>
      </c>
      <c r="D1174" t="inlineStr">
        <is>
          <t>PQ8519.V628 N5 1980</t>
        </is>
      </c>
      <c r="E1174" t="inlineStr">
        <is>
          <t>0                      PQ 8519000V  628                N  5           1980</t>
        </is>
      </c>
      <c r="F1174" t="inlineStr">
        <is>
          <t>No / Idea Vilariño.</t>
        </is>
      </c>
      <c r="H1174" t="inlineStr">
        <is>
          <t>No</t>
        </is>
      </c>
      <c r="I1174" t="inlineStr">
        <is>
          <t>1</t>
        </is>
      </c>
      <c r="J1174" t="inlineStr">
        <is>
          <t>No</t>
        </is>
      </c>
      <c r="K1174" t="inlineStr">
        <is>
          <t>No</t>
        </is>
      </c>
      <c r="L1174" t="inlineStr">
        <is>
          <t>0</t>
        </is>
      </c>
      <c r="M1174" t="inlineStr">
        <is>
          <t>Vilariño, Idea.</t>
        </is>
      </c>
      <c r="N1174" t="inlineStr">
        <is>
          <t>Buenos Aires : Calicanto Editorial, 1980.</t>
        </is>
      </c>
      <c r="O1174" t="inlineStr">
        <is>
          <t>1980</t>
        </is>
      </c>
      <c r="Q1174" t="inlineStr">
        <is>
          <t>spa</t>
        </is>
      </c>
      <c r="R1174" t="inlineStr">
        <is>
          <t xml:space="preserve">ag </t>
        </is>
      </c>
      <c r="T1174" t="inlineStr">
        <is>
          <t xml:space="preserve">PQ </t>
        </is>
      </c>
      <c r="U1174" t="n">
        <v>1</v>
      </c>
      <c r="V1174" t="n">
        <v>1</v>
      </c>
      <c r="W1174" t="inlineStr">
        <is>
          <t>2001-12-10</t>
        </is>
      </c>
      <c r="X1174" t="inlineStr">
        <is>
          <t>2001-12-10</t>
        </is>
      </c>
      <c r="Y1174" t="inlineStr">
        <is>
          <t>2001-12-10</t>
        </is>
      </c>
      <c r="Z1174" t="inlineStr">
        <is>
          <t>2001-12-10</t>
        </is>
      </c>
      <c r="AA1174" t="n">
        <v>27</v>
      </c>
      <c r="AB1174" t="n">
        <v>26</v>
      </c>
      <c r="AC1174" t="n">
        <v>38</v>
      </c>
      <c r="AD1174" t="n">
        <v>1</v>
      </c>
      <c r="AE1174" t="n">
        <v>1</v>
      </c>
      <c r="AF1174" t="n">
        <v>0</v>
      </c>
      <c r="AG1174" t="n">
        <v>0</v>
      </c>
      <c r="AH1174" t="n">
        <v>0</v>
      </c>
      <c r="AI1174" t="n">
        <v>0</v>
      </c>
      <c r="AJ1174" t="n">
        <v>0</v>
      </c>
      <c r="AK1174" t="n">
        <v>0</v>
      </c>
      <c r="AL1174" t="n">
        <v>0</v>
      </c>
      <c r="AM1174" t="n">
        <v>0</v>
      </c>
      <c r="AN1174" t="n">
        <v>0</v>
      </c>
      <c r="AO1174" t="n">
        <v>0</v>
      </c>
      <c r="AP1174" t="n">
        <v>0</v>
      </c>
      <c r="AQ1174" t="n">
        <v>0</v>
      </c>
      <c r="AR1174" t="inlineStr">
        <is>
          <t>No</t>
        </is>
      </c>
      <c r="AS1174" t="inlineStr">
        <is>
          <t>Yes</t>
        </is>
      </c>
      <c r="AT1174">
        <f>HYPERLINK("http://catalog.hathitrust.org/Record/101161348","HathiTrust Record")</f>
        <v/>
      </c>
      <c r="AU1174">
        <f>HYPERLINK("https://creighton-primo.hosted.exlibrisgroup.com/primo-explore/search?tab=default_tab&amp;search_scope=EVERYTHING&amp;vid=01CRU&amp;lang=en_US&amp;offset=0&amp;query=any,contains,991003693119702656","Catalog Record")</f>
        <v/>
      </c>
      <c r="AV1174">
        <f>HYPERLINK("http://www.worldcat.org/oclc/7009701","WorldCat Record")</f>
        <v/>
      </c>
      <c r="AW1174" t="inlineStr">
        <is>
          <t>24660922:spa</t>
        </is>
      </c>
      <c r="AX1174" t="inlineStr">
        <is>
          <t>7009701</t>
        </is>
      </c>
      <c r="AY1174" t="inlineStr">
        <is>
          <t>991003693119702656</t>
        </is>
      </c>
      <c r="AZ1174" t="inlineStr">
        <is>
          <t>991003693119702656</t>
        </is>
      </c>
      <c r="BA1174" t="inlineStr">
        <is>
          <t>2262666170002656</t>
        </is>
      </c>
      <c r="BB1174" t="inlineStr">
        <is>
          <t>BOOK</t>
        </is>
      </c>
      <c r="BE1174" t="inlineStr">
        <is>
          <t>32285004426895</t>
        </is>
      </c>
      <c r="BF1174" t="inlineStr">
        <is>
          <t>893262873</t>
        </is>
      </c>
    </row>
    <row r="1175">
      <c r="A1175" t="inlineStr">
        <is>
          <t>No</t>
        </is>
      </c>
      <c r="B1175" t="inlineStr">
        <is>
          <t>CURAL</t>
        </is>
      </c>
      <c r="C1175" t="inlineStr">
        <is>
          <t>SHELVES</t>
        </is>
      </c>
      <c r="D1175" t="inlineStr">
        <is>
          <t>PQ8519.V628 Z54 1994</t>
        </is>
      </c>
      <c r="E1175" t="inlineStr">
        <is>
          <t>0                      PQ 8519000V  628                Z  54          1994</t>
        </is>
      </c>
      <c r="F1175" t="inlineStr">
        <is>
          <t>Texts and contexts of Idea Vilariño's poetry / Judy Berry-Bravo.</t>
        </is>
      </c>
      <c r="H1175" t="inlineStr">
        <is>
          <t>No</t>
        </is>
      </c>
      <c r="I1175" t="inlineStr">
        <is>
          <t>1</t>
        </is>
      </c>
      <c r="J1175" t="inlineStr">
        <is>
          <t>No</t>
        </is>
      </c>
      <c r="K1175" t="inlineStr">
        <is>
          <t>No</t>
        </is>
      </c>
      <c r="L1175" t="inlineStr">
        <is>
          <t>0</t>
        </is>
      </c>
      <c r="M1175" t="inlineStr">
        <is>
          <t>Berry-Bravo, Judy.</t>
        </is>
      </c>
      <c r="N1175" t="inlineStr">
        <is>
          <t>York, S.C. : Spanish Literature Publications Co., 1994.</t>
        </is>
      </c>
      <c r="O1175" t="inlineStr">
        <is>
          <t>1994</t>
        </is>
      </c>
      <c r="Q1175" t="inlineStr">
        <is>
          <t>eng</t>
        </is>
      </c>
      <c r="R1175" t="inlineStr">
        <is>
          <t>scu</t>
        </is>
      </c>
      <c r="T1175" t="inlineStr">
        <is>
          <t xml:space="preserve">PQ </t>
        </is>
      </c>
      <c r="U1175" t="n">
        <v>1</v>
      </c>
      <c r="V1175" t="n">
        <v>1</v>
      </c>
      <c r="W1175" t="inlineStr">
        <is>
          <t>2003-04-14</t>
        </is>
      </c>
      <c r="X1175" t="inlineStr">
        <is>
          <t>2003-04-14</t>
        </is>
      </c>
      <c r="Y1175" t="inlineStr">
        <is>
          <t>2003-04-14</t>
        </is>
      </c>
      <c r="Z1175" t="inlineStr">
        <is>
          <t>2003-04-14</t>
        </is>
      </c>
      <c r="AA1175" t="n">
        <v>71</v>
      </c>
      <c r="AB1175" t="n">
        <v>60</v>
      </c>
      <c r="AC1175" t="n">
        <v>62</v>
      </c>
      <c r="AD1175" t="n">
        <v>1</v>
      </c>
      <c r="AE1175" t="n">
        <v>1</v>
      </c>
      <c r="AF1175" t="n">
        <v>1</v>
      </c>
      <c r="AG1175" t="n">
        <v>1</v>
      </c>
      <c r="AH1175" t="n">
        <v>0</v>
      </c>
      <c r="AI1175" t="n">
        <v>0</v>
      </c>
      <c r="AJ1175" t="n">
        <v>0</v>
      </c>
      <c r="AK1175" t="n">
        <v>0</v>
      </c>
      <c r="AL1175" t="n">
        <v>1</v>
      </c>
      <c r="AM1175" t="n">
        <v>1</v>
      </c>
      <c r="AN1175" t="n">
        <v>0</v>
      </c>
      <c r="AO1175" t="n">
        <v>0</v>
      </c>
      <c r="AP1175" t="n">
        <v>0</v>
      </c>
      <c r="AQ1175" t="n">
        <v>0</v>
      </c>
      <c r="AR1175" t="inlineStr">
        <is>
          <t>No</t>
        </is>
      </c>
      <c r="AS1175" t="inlineStr">
        <is>
          <t>Yes</t>
        </is>
      </c>
      <c r="AT1175">
        <f>HYPERLINK("http://catalog.hathitrust.org/Record/003084289","HathiTrust Record")</f>
        <v/>
      </c>
      <c r="AU1175">
        <f>HYPERLINK("https://creighton-primo.hosted.exlibrisgroup.com/primo-explore/search?tab=default_tab&amp;search_scope=EVERYTHING&amp;vid=01CRU&amp;lang=en_US&amp;offset=0&amp;query=any,contains,991004027659702656","Catalog Record")</f>
        <v/>
      </c>
      <c r="AV1175">
        <f>HYPERLINK("http://www.worldcat.org/oclc/32169016","WorldCat Record")</f>
        <v/>
      </c>
      <c r="AW1175" t="inlineStr">
        <is>
          <t>2487681935:eng</t>
        </is>
      </c>
      <c r="AX1175" t="inlineStr">
        <is>
          <t>32169016</t>
        </is>
      </c>
      <c r="AY1175" t="inlineStr">
        <is>
          <t>991004027659702656</t>
        </is>
      </c>
      <c r="AZ1175" t="inlineStr">
        <is>
          <t>991004027659702656</t>
        </is>
      </c>
      <c r="BA1175" t="inlineStr">
        <is>
          <t>2264005800002656</t>
        </is>
      </c>
      <c r="BB1175" t="inlineStr">
        <is>
          <t>BOOK</t>
        </is>
      </c>
      <c r="BD1175" t="inlineStr">
        <is>
          <t>9780938972211</t>
        </is>
      </c>
      <c r="BE1175" t="inlineStr">
        <is>
          <t>32285004742242</t>
        </is>
      </c>
      <c r="BF1175" t="inlineStr">
        <is>
          <t>893699746</t>
        </is>
      </c>
    </row>
    <row r="1176">
      <c r="A1176" t="inlineStr">
        <is>
          <t>No</t>
        </is>
      </c>
      <c r="B1176" t="inlineStr">
        <is>
          <t>CURAL</t>
        </is>
      </c>
      <c r="C1176" t="inlineStr">
        <is>
          <t>SHELVES</t>
        </is>
      </c>
      <c r="D1176" t="inlineStr">
        <is>
          <t>PQ8519.V72 J3 1980</t>
        </is>
      </c>
      <c r="E1176" t="inlineStr">
        <is>
          <t>0                      PQ 8519000V  72                 J  3           1980</t>
        </is>
      </c>
      <c r="F1176" t="inlineStr">
        <is>
          <t>Jardín de sílice / Ida Vitale.</t>
        </is>
      </c>
      <c r="H1176" t="inlineStr">
        <is>
          <t>No</t>
        </is>
      </c>
      <c r="I1176" t="inlineStr">
        <is>
          <t>1</t>
        </is>
      </c>
      <c r="J1176" t="inlineStr">
        <is>
          <t>No</t>
        </is>
      </c>
      <c r="K1176" t="inlineStr">
        <is>
          <t>No</t>
        </is>
      </c>
      <c r="L1176" t="inlineStr">
        <is>
          <t>0</t>
        </is>
      </c>
      <c r="M1176" t="inlineStr">
        <is>
          <t>Vitale, Ida.</t>
        </is>
      </c>
      <c r="N1176" t="inlineStr">
        <is>
          <t>Caracas, Venezuela : Monte Avila Editores, [1980]</t>
        </is>
      </c>
      <c r="O1176" t="inlineStr">
        <is>
          <t>1980</t>
        </is>
      </c>
      <c r="Q1176" t="inlineStr">
        <is>
          <t>spa</t>
        </is>
      </c>
      <c r="R1176" t="inlineStr">
        <is>
          <t xml:space="preserve">ve </t>
        </is>
      </c>
      <c r="S1176" t="inlineStr">
        <is>
          <t>Colección Altazor</t>
        </is>
      </c>
      <c r="T1176" t="inlineStr">
        <is>
          <t xml:space="preserve">PQ </t>
        </is>
      </c>
      <c r="U1176" t="n">
        <v>1</v>
      </c>
      <c r="V1176" t="n">
        <v>1</v>
      </c>
      <c r="W1176" t="inlineStr">
        <is>
          <t>2002-05-22</t>
        </is>
      </c>
      <c r="X1176" t="inlineStr">
        <is>
          <t>2002-05-22</t>
        </is>
      </c>
      <c r="Y1176" t="inlineStr">
        <is>
          <t>2002-05-16</t>
        </is>
      </c>
      <c r="Z1176" t="inlineStr">
        <is>
          <t>2002-05-16</t>
        </is>
      </c>
      <c r="AA1176" t="n">
        <v>46</v>
      </c>
      <c r="AB1176" t="n">
        <v>41</v>
      </c>
      <c r="AC1176" t="n">
        <v>46</v>
      </c>
      <c r="AD1176" t="n">
        <v>1</v>
      </c>
      <c r="AE1176" t="n">
        <v>1</v>
      </c>
      <c r="AF1176" t="n">
        <v>2</v>
      </c>
      <c r="AG1176" t="n">
        <v>2</v>
      </c>
      <c r="AH1176" t="n">
        <v>2</v>
      </c>
      <c r="AI1176" t="n">
        <v>2</v>
      </c>
      <c r="AJ1176" t="n">
        <v>0</v>
      </c>
      <c r="AK1176" t="n">
        <v>0</v>
      </c>
      <c r="AL1176" t="n">
        <v>1</v>
      </c>
      <c r="AM1176" t="n">
        <v>1</v>
      </c>
      <c r="AN1176" t="n">
        <v>0</v>
      </c>
      <c r="AO1176" t="n">
        <v>0</v>
      </c>
      <c r="AP1176" t="n">
        <v>0</v>
      </c>
      <c r="AQ1176" t="n">
        <v>0</v>
      </c>
      <c r="AR1176" t="inlineStr">
        <is>
          <t>No</t>
        </is>
      </c>
      <c r="AS1176" t="inlineStr">
        <is>
          <t>Yes</t>
        </is>
      </c>
      <c r="AT1176">
        <f>HYPERLINK("http://catalog.hathitrust.org/Record/101161359","HathiTrust Record")</f>
        <v/>
      </c>
      <c r="AU1176">
        <f>HYPERLINK("https://creighton-primo.hosted.exlibrisgroup.com/primo-explore/search?tab=default_tab&amp;search_scope=EVERYTHING&amp;vid=01CRU&amp;lang=en_US&amp;offset=0&amp;query=any,contains,991003810589702656","Catalog Record")</f>
        <v/>
      </c>
      <c r="AV1176">
        <f>HYPERLINK("http://www.worldcat.org/oclc/7575152","WorldCat Record")</f>
        <v/>
      </c>
      <c r="AW1176" t="inlineStr">
        <is>
          <t>28872449:spa</t>
        </is>
      </c>
      <c r="AX1176" t="inlineStr">
        <is>
          <t>7575152</t>
        </is>
      </c>
      <c r="AY1176" t="inlineStr">
        <is>
          <t>991003810589702656</t>
        </is>
      </c>
      <c r="AZ1176" t="inlineStr">
        <is>
          <t>991003810589702656</t>
        </is>
      </c>
      <c r="BA1176" t="inlineStr">
        <is>
          <t>2265679510002656</t>
        </is>
      </c>
      <c r="BB1176" t="inlineStr">
        <is>
          <t>BOOK</t>
        </is>
      </c>
      <c r="BE1176" t="inlineStr">
        <is>
          <t>32285004489141</t>
        </is>
      </c>
      <c r="BF1176" t="inlineStr">
        <is>
          <t>893699440</t>
        </is>
      </c>
    </row>
    <row r="1177">
      <c r="A1177" t="inlineStr">
        <is>
          <t>No</t>
        </is>
      </c>
      <c r="B1177" t="inlineStr">
        <is>
          <t>CURAL</t>
        </is>
      </c>
      <c r="C1177" t="inlineStr">
        <is>
          <t>SHELVES</t>
        </is>
      </c>
      <c r="D1177" t="inlineStr">
        <is>
          <t>PQ8520.17.A4 A72 1998</t>
        </is>
      </c>
      <c r="E1177" t="inlineStr">
        <is>
          <t>0                      PQ 8520170A  4                  A  72          1998</t>
        </is>
      </c>
      <c r="F1177" t="inlineStr">
        <is>
          <t>Amares : antología de relatos / Eduardo Galeano.</t>
        </is>
      </c>
      <c r="H1177" t="inlineStr">
        <is>
          <t>No</t>
        </is>
      </c>
      <c r="I1177" t="inlineStr">
        <is>
          <t>1</t>
        </is>
      </c>
      <c r="J1177" t="inlineStr">
        <is>
          <t>No</t>
        </is>
      </c>
      <c r="K1177" t="inlineStr">
        <is>
          <t>No</t>
        </is>
      </c>
      <c r="L1177" t="inlineStr">
        <is>
          <t>0</t>
        </is>
      </c>
      <c r="M1177" t="inlineStr">
        <is>
          <t>Galeano, Eduardo, 1940-2015.</t>
        </is>
      </c>
      <c r="N1177" t="inlineStr">
        <is>
          <t>Madrid : Alianza, 1999.</t>
        </is>
      </c>
      <c r="O1177" t="inlineStr">
        <is>
          <t>1998</t>
        </is>
      </c>
      <c r="Q1177" t="inlineStr">
        <is>
          <t>spa</t>
        </is>
      </c>
      <c r="R1177" t="inlineStr">
        <is>
          <t xml:space="preserve">sp </t>
        </is>
      </c>
      <c r="S1177" t="inlineStr">
        <is>
          <t>Libro de Bolsillo. Literatura Hispanoamericana. Contemporáneos</t>
        </is>
      </c>
      <c r="T1177" t="inlineStr">
        <is>
          <t xml:space="preserve">PQ </t>
        </is>
      </c>
      <c r="U1177" t="n">
        <v>1</v>
      </c>
      <c r="V1177" t="n">
        <v>1</v>
      </c>
      <c r="W1177" t="inlineStr">
        <is>
          <t>2000-09-20</t>
        </is>
      </c>
      <c r="X1177" t="inlineStr">
        <is>
          <t>2000-09-20</t>
        </is>
      </c>
      <c r="Y1177" t="inlineStr">
        <is>
          <t>2000-09-20</t>
        </is>
      </c>
      <c r="Z1177" t="inlineStr">
        <is>
          <t>2000-09-20</t>
        </is>
      </c>
      <c r="AA1177" t="n">
        <v>40</v>
      </c>
      <c r="AB1177" t="n">
        <v>33</v>
      </c>
      <c r="AC1177" t="n">
        <v>93</v>
      </c>
      <c r="AD1177" t="n">
        <v>1</v>
      </c>
      <c r="AE1177" t="n">
        <v>2</v>
      </c>
      <c r="AF1177" t="n">
        <v>0</v>
      </c>
      <c r="AG1177" t="n">
        <v>4</v>
      </c>
      <c r="AH1177" t="n">
        <v>0</v>
      </c>
      <c r="AI1177" t="n">
        <v>1</v>
      </c>
      <c r="AJ1177" t="n">
        <v>0</v>
      </c>
      <c r="AK1177" t="n">
        <v>2</v>
      </c>
      <c r="AL1177" t="n">
        <v>0</v>
      </c>
      <c r="AM1177" t="n">
        <v>1</v>
      </c>
      <c r="AN1177" t="n">
        <v>0</v>
      </c>
      <c r="AO1177" t="n">
        <v>1</v>
      </c>
      <c r="AP1177" t="n">
        <v>0</v>
      </c>
      <c r="AQ1177" t="n">
        <v>0</v>
      </c>
      <c r="AR1177" t="inlineStr">
        <is>
          <t>No</t>
        </is>
      </c>
      <c r="AS1177" t="inlineStr">
        <is>
          <t>No</t>
        </is>
      </c>
      <c r="AU1177">
        <f>HYPERLINK("https://creighton-primo.hosted.exlibrisgroup.com/primo-explore/search?tab=default_tab&amp;search_scope=EVERYTHING&amp;vid=01CRU&amp;lang=en_US&amp;offset=0&amp;query=any,contains,991003253969702656","Catalog Record")</f>
        <v/>
      </c>
      <c r="AV1177">
        <f>HYPERLINK("http://www.worldcat.org/oclc/46547524","WorldCat Record")</f>
        <v/>
      </c>
      <c r="AW1177" t="inlineStr">
        <is>
          <t>155685300:spa</t>
        </is>
      </c>
      <c r="AX1177" t="inlineStr">
        <is>
          <t>46547524</t>
        </is>
      </c>
      <c r="AY1177" t="inlineStr">
        <is>
          <t>991003253969702656</t>
        </is>
      </c>
      <c r="AZ1177" t="inlineStr">
        <is>
          <t>991003253969702656</t>
        </is>
      </c>
      <c r="BA1177" t="inlineStr">
        <is>
          <t>2257035660002656</t>
        </is>
      </c>
      <c r="BB1177" t="inlineStr">
        <is>
          <t>BOOK</t>
        </is>
      </c>
      <c r="BD1177" t="inlineStr">
        <is>
          <t>9788420634197</t>
        </is>
      </c>
      <c r="BE1177" t="inlineStr">
        <is>
          <t>32285003763736</t>
        </is>
      </c>
      <c r="BF1177" t="inlineStr">
        <is>
          <t>893240015</t>
        </is>
      </c>
    </row>
    <row r="1178">
      <c r="A1178" t="inlineStr">
        <is>
          <t>No</t>
        </is>
      </c>
      <c r="B1178" t="inlineStr">
        <is>
          <t>CURAL</t>
        </is>
      </c>
      <c r="C1178" t="inlineStr">
        <is>
          <t>SHELVES</t>
        </is>
      </c>
      <c r="D1178" t="inlineStr">
        <is>
          <t>PQ8520.17.A4 A8 1997</t>
        </is>
      </c>
      <c r="E1178" t="inlineStr">
        <is>
          <t>0                      PQ 8520170A  4                  A  8           1997</t>
        </is>
      </c>
      <c r="F1178" t="inlineStr">
        <is>
          <t>Apuntes para el fin de siglo : antología / Eduardo Galeano.</t>
        </is>
      </c>
      <c r="H1178" t="inlineStr">
        <is>
          <t>No</t>
        </is>
      </c>
      <c r="I1178" t="inlineStr">
        <is>
          <t>1</t>
        </is>
      </c>
      <c r="J1178" t="inlineStr">
        <is>
          <t>No</t>
        </is>
      </c>
      <c r="K1178" t="inlineStr">
        <is>
          <t>No</t>
        </is>
      </c>
      <c r="L1178" t="inlineStr">
        <is>
          <t>0</t>
        </is>
      </c>
      <c r="M1178" t="inlineStr">
        <is>
          <t>Galeano, Eduardo, 1940-2015.</t>
        </is>
      </c>
      <c r="N1178" t="inlineStr">
        <is>
          <t>Santiago, Chile: LOM, 1997.</t>
        </is>
      </c>
      <c r="O1178" t="inlineStr">
        <is>
          <t>1997</t>
        </is>
      </c>
      <c r="Q1178" t="inlineStr">
        <is>
          <t>spa</t>
        </is>
      </c>
      <c r="R1178" t="inlineStr">
        <is>
          <t xml:space="preserve">cl </t>
        </is>
      </c>
      <c r="S1178" t="inlineStr">
        <is>
          <t>Colección Entre mares</t>
        </is>
      </c>
      <c r="T1178" t="inlineStr">
        <is>
          <t xml:space="preserve">PQ </t>
        </is>
      </c>
      <c r="U1178" t="n">
        <v>2</v>
      </c>
      <c r="V1178" t="n">
        <v>2</v>
      </c>
      <c r="W1178" t="inlineStr">
        <is>
          <t>2001-05-16</t>
        </is>
      </c>
      <c r="X1178" t="inlineStr">
        <is>
          <t>2001-05-16</t>
        </is>
      </c>
      <c r="Y1178" t="inlineStr">
        <is>
          <t>2001-03-20</t>
        </is>
      </c>
      <c r="Z1178" t="inlineStr">
        <is>
          <t>2001-03-20</t>
        </is>
      </c>
      <c r="AA1178" t="n">
        <v>52</v>
      </c>
      <c r="AB1178" t="n">
        <v>41</v>
      </c>
      <c r="AC1178" t="n">
        <v>84</v>
      </c>
      <c r="AD1178" t="n">
        <v>1</v>
      </c>
      <c r="AE1178" t="n">
        <v>1</v>
      </c>
      <c r="AF1178" t="n">
        <v>0</v>
      </c>
      <c r="AG1178" t="n">
        <v>3</v>
      </c>
      <c r="AH1178" t="n">
        <v>0</v>
      </c>
      <c r="AI1178" t="n">
        <v>1</v>
      </c>
      <c r="AJ1178" t="n">
        <v>0</v>
      </c>
      <c r="AK1178" t="n">
        <v>1</v>
      </c>
      <c r="AL1178" t="n">
        <v>0</v>
      </c>
      <c r="AM1178" t="n">
        <v>3</v>
      </c>
      <c r="AN1178" t="n">
        <v>0</v>
      </c>
      <c r="AO1178" t="n">
        <v>0</v>
      </c>
      <c r="AP1178" t="n">
        <v>0</v>
      </c>
      <c r="AQ1178" t="n">
        <v>0</v>
      </c>
      <c r="AR1178" t="inlineStr">
        <is>
          <t>No</t>
        </is>
      </c>
      <c r="AS1178" t="inlineStr">
        <is>
          <t>Yes</t>
        </is>
      </c>
      <c r="AT1178">
        <f>HYPERLINK("http://catalog.hathitrust.org/Record/007393918","HathiTrust Record")</f>
        <v/>
      </c>
      <c r="AU1178">
        <f>HYPERLINK("https://creighton-primo.hosted.exlibrisgroup.com/primo-explore/search?tab=default_tab&amp;search_scope=EVERYTHING&amp;vid=01CRU&amp;lang=en_US&amp;offset=0&amp;query=any,contains,991003253999702656","Catalog Record")</f>
        <v/>
      </c>
      <c r="AV1178">
        <f>HYPERLINK("http://www.worldcat.org/oclc/39792562","WorldCat Record")</f>
        <v/>
      </c>
      <c r="AW1178" t="inlineStr">
        <is>
          <t>27896413:spa</t>
        </is>
      </c>
      <c r="AX1178" t="inlineStr">
        <is>
          <t>39792562</t>
        </is>
      </c>
      <c r="AY1178" t="inlineStr">
        <is>
          <t>991003253999702656</t>
        </is>
      </c>
      <c r="AZ1178" t="inlineStr">
        <is>
          <t>991003253999702656</t>
        </is>
      </c>
      <c r="BA1178" t="inlineStr">
        <is>
          <t>2268543610002656</t>
        </is>
      </c>
      <c r="BB1178" t="inlineStr">
        <is>
          <t>BOOK</t>
        </is>
      </c>
      <c r="BD1178" t="inlineStr">
        <is>
          <t>9789562820349</t>
        </is>
      </c>
      <c r="BE1178" t="inlineStr">
        <is>
          <t>32285004306394</t>
        </is>
      </c>
      <c r="BF1178" t="inlineStr">
        <is>
          <t>893592335</t>
        </is>
      </c>
    </row>
    <row r="1179">
      <c r="A1179" t="inlineStr">
        <is>
          <t>No</t>
        </is>
      </c>
      <c r="B1179" t="inlineStr">
        <is>
          <t>CURAL</t>
        </is>
      </c>
      <c r="C1179" t="inlineStr">
        <is>
          <t>SHELVES</t>
        </is>
      </c>
      <c r="D1179" t="inlineStr">
        <is>
          <t>PQ8520.17.A4 L5 1991</t>
        </is>
      </c>
      <c r="E1179" t="inlineStr">
        <is>
          <t>0                      PQ 8520170A  4                  L  5           1991</t>
        </is>
      </c>
      <c r="F1179" t="inlineStr">
        <is>
          <t>El libro de los abrazos : imágenes y palabras / de Eduardo Galeano.</t>
        </is>
      </c>
      <c r="H1179" t="inlineStr">
        <is>
          <t>No</t>
        </is>
      </c>
      <c r="I1179" t="inlineStr">
        <is>
          <t>1</t>
        </is>
      </c>
      <c r="J1179" t="inlineStr">
        <is>
          <t>No</t>
        </is>
      </c>
      <c r="K1179" t="inlineStr">
        <is>
          <t>No</t>
        </is>
      </c>
      <c r="L1179" t="inlineStr">
        <is>
          <t>0</t>
        </is>
      </c>
      <c r="M1179" t="inlineStr">
        <is>
          <t>Galeano, Eduardo, 1940-2015.</t>
        </is>
      </c>
      <c r="N1179" t="inlineStr">
        <is>
          <t>México, D.F. : Siglo Veintiuno Editores ; Madrid, España : Siglo Veintiuno de España Editores ; Bogotá, D.E., Colombia : Siglo Veintiuno Editores, 1991.</t>
        </is>
      </c>
      <c r="O1179" t="inlineStr">
        <is>
          <t>1991</t>
        </is>
      </c>
      <c r="P1179" t="inlineStr">
        <is>
          <t>5. ed.</t>
        </is>
      </c>
      <c r="Q1179" t="inlineStr">
        <is>
          <t>spa</t>
        </is>
      </c>
      <c r="R1179" t="inlineStr">
        <is>
          <t xml:space="preserve">mx </t>
        </is>
      </c>
      <c r="S1179" t="inlineStr">
        <is>
          <t>La Creación literaria</t>
        </is>
      </c>
      <c r="T1179" t="inlineStr">
        <is>
          <t xml:space="preserve">PQ </t>
        </is>
      </c>
      <c r="U1179" t="n">
        <v>7</v>
      </c>
      <c r="V1179" t="n">
        <v>7</v>
      </c>
      <c r="W1179" t="inlineStr">
        <is>
          <t>2003-06-12</t>
        </is>
      </c>
      <c r="X1179" t="inlineStr">
        <is>
          <t>2003-06-12</t>
        </is>
      </c>
      <c r="Y1179" t="inlineStr">
        <is>
          <t>1996-11-08</t>
        </is>
      </c>
      <c r="Z1179" t="inlineStr">
        <is>
          <t>1996-11-08</t>
        </is>
      </c>
      <c r="AA1179" t="n">
        <v>47</v>
      </c>
      <c r="AB1179" t="n">
        <v>43</v>
      </c>
      <c r="AC1179" t="n">
        <v>255</v>
      </c>
      <c r="AD1179" t="n">
        <v>1</v>
      </c>
      <c r="AE1179" t="n">
        <v>1</v>
      </c>
      <c r="AF1179" t="n">
        <v>1</v>
      </c>
      <c r="AG1179" t="n">
        <v>8</v>
      </c>
      <c r="AH1179" t="n">
        <v>1</v>
      </c>
      <c r="AI1179" t="n">
        <v>3</v>
      </c>
      <c r="AJ1179" t="n">
        <v>0</v>
      </c>
      <c r="AK1179" t="n">
        <v>1</v>
      </c>
      <c r="AL1179" t="n">
        <v>0</v>
      </c>
      <c r="AM1179" t="n">
        <v>5</v>
      </c>
      <c r="AN1179" t="n">
        <v>0</v>
      </c>
      <c r="AO1179" t="n">
        <v>0</v>
      </c>
      <c r="AP1179" t="n">
        <v>0</v>
      </c>
      <c r="AQ1179" t="n">
        <v>0</v>
      </c>
      <c r="AR1179" t="inlineStr">
        <is>
          <t>No</t>
        </is>
      </c>
      <c r="AS1179" t="inlineStr">
        <is>
          <t>No</t>
        </is>
      </c>
      <c r="AU1179">
        <f>HYPERLINK("https://creighton-primo.hosted.exlibrisgroup.com/primo-explore/search?tab=default_tab&amp;search_scope=EVERYTHING&amp;vid=01CRU&amp;lang=en_US&amp;offset=0&amp;query=any,contains,991002171969702656","Catalog Record")</f>
        <v/>
      </c>
      <c r="AV1179">
        <f>HYPERLINK("http://www.worldcat.org/oclc/27952249","WorldCat Record")</f>
        <v/>
      </c>
      <c r="AW1179" t="inlineStr">
        <is>
          <t>9682591:spa</t>
        </is>
      </c>
      <c r="AX1179" t="inlineStr">
        <is>
          <t>27952249</t>
        </is>
      </c>
      <c r="AY1179" t="inlineStr">
        <is>
          <t>991002171969702656</t>
        </is>
      </c>
      <c r="AZ1179" t="inlineStr">
        <is>
          <t>991002171969702656</t>
        </is>
      </c>
      <c r="BA1179" t="inlineStr">
        <is>
          <t>2269306750002656</t>
        </is>
      </c>
      <c r="BB1179" t="inlineStr">
        <is>
          <t>BOOK</t>
        </is>
      </c>
      <c r="BD1179" t="inlineStr">
        <is>
          <t>9789682315886</t>
        </is>
      </c>
      <c r="BE1179" t="inlineStr">
        <is>
          <t>32285002395068</t>
        </is>
      </c>
      <c r="BF1179" t="inlineStr">
        <is>
          <t>893256963</t>
        </is>
      </c>
    </row>
    <row r="1180">
      <c r="A1180" t="inlineStr">
        <is>
          <t>No</t>
        </is>
      </c>
      <c r="B1180" t="inlineStr">
        <is>
          <t>CURAL</t>
        </is>
      </c>
      <c r="C1180" t="inlineStr">
        <is>
          <t>SHELVES</t>
        </is>
      </c>
      <c r="D1180" t="inlineStr">
        <is>
          <t>PQ8520.17.A4 Z645 2002</t>
        </is>
      </c>
      <c r="E1180" t="inlineStr">
        <is>
          <t>0                      PQ 8520170A  4                  Z  645         2002</t>
        </is>
      </c>
      <c r="F1180" t="inlineStr">
        <is>
          <t>Eduardo Galeano : through the looking glass / Daniel Fischlin, Martha Nandorfy.</t>
        </is>
      </c>
      <c r="H1180" t="inlineStr">
        <is>
          <t>No</t>
        </is>
      </c>
      <c r="I1180" t="inlineStr">
        <is>
          <t>1</t>
        </is>
      </c>
      <c r="J1180" t="inlineStr">
        <is>
          <t>No</t>
        </is>
      </c>
      <c r="K1180" t="inlineStr">
        <is>
          <t>No</t>
        </is>
      </c>
      <c r="L1180" t="inlineStr">
        <is>
          <t>0</t>
        </is>
      </c>
      <c r="M1180" t="inlineStr">
        <is>
          <t>Fischlin, Daniel.</t>
        </is>
      </c>
      <c r="N1180" t="inlineStr">
        <is>
          <t>Montréal Black Rose Books, 2002.</t>
        </is>
      </c>
      <c r="O1180" t="inlineStr">
        <is>
          <t>2002</t>
        </is>
      </c>
      <c r="Q1180" t="inlineStr">
        <is>
          <t>eng</t>
        </is>
      </c>
      <c r="R1180" t="inlineStr">
        <is>
          <t>quc</t>
        </is>
      </c>
      <c r="T1180" t="inlineStr">
        <is>
          <t xml:space="preserve">PQ </t>
        </is>
      </c>
      <c r="U1180" t="n">
        <v>3</v>
      </c>
      <c r="V1180" t="n">
        <v>3</v>
      </c>
      <c r="W1180" t="inlineStr">
        <is>
          <t>2003-08-22</t>
        </is>
      </c>
      <c r="X1180" t="inlineStr">
        <is>
          <t>2003-08-22</t>
        </is>
      </c>
      <c r="Y1180" t="inlineStr">
        <is>
          <t>2002-09-10</t>
        </is>
      </c>
      <c r="Z1180" t="inlineStr">
        <is>
          <t>2002-09-10</t>
        </is>
      </c>
      <c r="AA1180" t="n">
        <v>207</v>
      </c>
      <c r="AB1180" t="n">
        <v>163</v>
      </c>
      <c r="AC1180" t="n">
        <v>167</v>
      </c>
      <c r="AD1180" t="n">
        <v>2</v>
      </c>
      <c r="AE1180" t="n">
        <v>2</v>
      </c>
      <c r="AF1180" t="n">
        <v>7</v>
      </c>
      <c r="AG1180" t="n">
        <v>7</v>
      </c>
      <c r="AH1180" t="n">
        <v>1</v>
      </c>
      <c r="AI1180" t="n">
        <v>1</v>
      </c>
      <c r="AJ1180" t="n">
        <v>3</v>
      </c>
      <c r="AK1180" t="n">
        <v>3</v>
      </c>
      <c r="AL1180" t="n">
        <v>4</v>
      </c>
      <c r="AM1180" t="n">
        <v>4</v>
      </c>
      <c r="AN1180" t="n">
        <v>1</v>
      </c>
      <c r="AO1180" t="n">
        <v>1</v>
      </c>
      <c r="AP1180" t="n">
        <v>0</v>
      </c>
      <c r="AQ1180" t="n">
        <v>0</v>
      </c>
      <c r="AR1180" t="inlineStr">
        <is>
          <t>No</t>
        </is>
      </c>
      <c r="AS1180" t="inlineStr">
        <is>
          <t>Yes</t>
        </is>
      </c>
      <c r="AT1180">
        <f>HYPERLINK("http://catalog.hathitrust.org/Record/004237563","HathiTrust Record")</f>
        <v/>
      </c>
      <c r="AU1180">
        <f>HYPERLINK("https://creighton-primo.hosted.exlibrisgroup.com/primo-explore/search?tab=default_tab&amp;search_scope=EVERYTHING&amp;vid=01CRU&amp;lang=en_US&amp;offset=0&amp;query=any,contains,991003867109702656","Catalog Record")</f>
        <v/>
      </c>
      <c r="AV1180">
        <f>HYPERLINK("http://www.worldcat.org/oclc/43884445","WorldCat Record")</f>
        <v/>
      </c>
      <c r="AW1180" t="inlineStr">
        <is>
          <t>285037361:eng</t>
        </is>
      </c>
      <c r="AX1180" t="inlineStr">
        <is>
          <t>43884445</t>
        </is>
      </c>
      <c r="AY1180" t="inlineStr">
        <is>
          <t>991003867109702656</t>
        </is>
      </c>
      <c r="AZ1180" t="inlineStr">
        <is>
          <t>991003867109702656</t>
        </is>
      </c>
      <c r="BA1180" t="inlineStr">
        <is>
          <t>2256916880002656</t>
        </is>
      </c>
      <c r="BB1180" t="inlineStr">
        <is>
          <t>BOOK</t>
        </is>
      </c>
      <c r="BD1180" t="inlineStr">
        <is>
          <t>9781551641782</t>
        </is>
      </c>
      <c r="BE1180" t="inlineStr">
        <is>
          <t>32285004646781</t>
        </is>
      </c>
      <c r="BF1180" t="inlineStr">
        <is>
          <t>893525339</t>
        </is>
      </c>
    </row>
    <row r="1181">
      <c r="A1181" t="inlineStr">
        <is>
          <t>No</t>
        </is>
      </c>
      <c r="B1181" t="inlineStr">
        <is>
          <t>CURAL</t>
        </is>
      </c>
      <c r="C1181" t="inlineStr">
        <is>
          <t>SHELVES</t>
        </is>
      </c>
      <c r="D1181" t="inlineStr">
        <is>
          <t>PQ8520.22.E43 J8 1985</t>
        </is>
      </c>
      <c r="E1181" t="inlineStr">
        <is>
          <t>0                      PQ 8520220E  43                 J  8           1985</t>
        </is>
      </c>
      <c r="F1181" t="inlineStr">
        <is>
          <t>Juan sin miedo rompe filas / Judith Lémez.</t>
        </is>
      </c>
      <c r="H1181" t="inlineStr">
        <is>
          <t>No</t>
        </is>
      </c>
      <c r="I1181" t="inlineStr">
        <is>
          <t>1</t>
        </is>
      </c>
      <c r="J1181" t="inlineStr">
        <is>
          <t>No</t>
        </is>
      </c>
      <c r="K1181" t="inlineStr">
        <is>
          <t>No</t>
        </is>
      </c>
      <c r="L1181" t="inlineStr">
        <is>
          <t>0</t>
        </is>
      </c>
      <c r="M1181" t="inlineStr">
        <is>
          <t>Lémez, Judith.</t>
        </is>
      </c>
      <c r="N1181" t="inlineStr">
        <is>
          <t>Caracas, Venezuela : Ediciones Centauro, [19]85.</t>
        </is>
      </c>
      <c r="O1181" t="inlineStr">
        <is>
          <t>1985</t>
        </is>
      </c>
      <c r="Q1181" t="inlineStr">
        <is>
          <t>spa</t>
        </is>
      </c>
      <c r="R1181" t="inlineStr">
        <is>
          <t xml:space="preserve">ve </t>
        </is>
      </c>
      <c r="T1181" t="inlineStr">
        <is>
          <t xml:space="preserve">PQ </t>
        </is>
      </c>
      <c r="U1181" t="n">
        <v>1</v>
      </c>
      <c r="V1181" t="n">
        <v>1</v>
      </c>
      <c r="W1181" t="inlineStr">
        <is>
          <t>2002-04-03</t>
        </is>
      </c>
      <c r="X1181" t="inlineStr">
        <is>
          <t>2002-04-03</t>
        </is>
      </c>
      <c r="Y1181" t="inlineStr">
        <is>
          <t>2002-03-07</t>
        </is>
      </c>
      <c r="Z1181" t="inlineStr">
        <is>
          <t>2002-03-07</t>
        </is>
      </c>
      <c r="AA1181" t="n">
        <v>21</v>
      </c>
      <c r="AB1181" t="n">
        <v>20</v>
      </c>
      <c r="AC1181" t="n">
        <v>20</v>
      </c>
      <c r="AD1181" t="n">
        <v>1</v>
      </c>
      <c r="AE1181" t="n">
        <v>1</v>
      </c>
      <c r="AF1181" t="n">
        <v>0</v>
      </c>
      <c r="AG1181" t="n">
        <v>0</v>
      </c>
      <c r="AH1181" t="n">
        <v>0</v>
      </c>
      <c r="AI1181" t="n">
        <v>0</v>
      </c>
      <c r="AJ1181" t="n">
        <v>0</v>
      </c>
      <c r="AK1181" t="n">
        <v>0</v>
      </c>
      <c r="AL1181" t="n">
        <v>0</v>
      </c>
      <c r="AM1181" t="n">
        <v>0</v>
      </c>
      <c r="AN1181" t="n">
        <v>0</v>
      </c>
      <c r="AO1181" t="n">
        <v>0</v>
      </c>
      <c r="AP1181" t="n">
        <v>0</v>
      </c>
      <c r="AQ1181" t="n">
        <v>0</v>
      </c>
      <c r="AR1181" t="inlineStr">
        <is>
          <t>No</t>
        </is>
      </c>
      <c r="AS1181" t="inlineStr">
        <is>
          <t>No</t>
        </is>
      </c>
      <c r="AU1181">
        <f>HYPERLINK("https://creighton-primo.hosted.exlibrisgroup.com/primo-explore/search?tab=default_tab&amp;search_scope=EVERYTHING&amp;vid=01CRU&amp;lang=en_US&amp;offset=0&amp;query=any,contains,991003759349702656","Catalog Record")</f>
        <v/>
      </c>
      <c r="AV1181">
        <f>HYPERLINK("http://www.worldcat.org/oclc/13239954","WorldCat Record")</f>
        <v/>
      </c>
      <c r="AW1181" t="inlineStr">
        <is>
          <t>7680239:spa</t>
        </is>
      </c>
      <c r="AX1181" t="inlineStr">
        <is>
          <t>13239954</t>
        </is>
      </c>
      <c r="AY1181" t="inlineStr">
        <is>
          <t>991003759349702656</t>
        </is>
      </c>
      <c r="AZ1181" t="inlineStr">
        <is>
          <t>991003759349702656</t>
        </is>
      </c>
      <c r="BA1181" t="inlineStr">
        <is>
          <t>2264974860002656</t>
        </is>
      </c>
      <c r="BB1181" t="inlineStr">
        <is>
          <t>BOOK</t>
        </is>
      </c>
      <c r="BD1181" t="inlineStr">
        <is>
          <t>9789802630097</t>
        </is>
      </c>
      <c r="BE1181" t="inlineStr">
        <is>
          <t>32285004460092</t>
        </is>
      </c>
      <c r="BF1181" t="inlineStr">
        <is>
          <t>893900316</t>
        </is>
      </c>
    </row>
    <row r="1182">
      <c r="A1182" t="inlineStr">
        <is>
          <t>No</t>
        </is>
      </c>
      <c r="B1182" t="inlineStr">
        <is>
          <t>CURAL</t>
        </is>
      </c>
      <c r="C1182" t="inlineStr">
        <is>
          <t>SHELVES</t>
        </is>
      </c>
      <c r="D1182" t="inlineStr">
        <is>
          <t>PQ8530.15 .S56 1995</t>
        </is>
      </c>
      <c r="E1182" t="inlineStr">
        <is>
          <t>0                      PQ 8530150S  56          1995</t>
        </is>
      </c>
      <c r="F1182" t="inlineStr">
        <is>
          <t>XX simposio de docentes e investigadores de la literatura venezolana : memoria y cuenta.</t>
        </is>
      </c>
      <c r="H1182" t="inlineStr">
        <is>
          <t>No</t>
        </is>
      </c>
      <c r="I1182" t="inlineStr">
        <is>
          <t>1</t>
        </is>
      </c>
      <c r="J1182" t="inlineStr">
        <is>
          <t>No</t>
        </is>
      </c>
      <c r="K1182" t="inlineStr">
        <is>
          <t>No</t>
        </is>
      </c>
      <c r="L1182" t="inlineStr">
        <is>
          <t>0</t>
        </is>
      </c>
      <c r="M1182" t="inlineStr">
        <is>
          <t>Simposio de Docentes e Investigadores de la Literatura Venezolana (20th : 1994 : San Cristóbal, Táchira, Venezuela)</t>
        </is>
      </c>
      <c r="N1182" t="inlineStr">
        <is>
          <t>San Cristóbal, Venezuela : [s.n., 1995]</t>
        </is>
      </c>
      <c r="O1182" t="inlineStr">
        <is>
          <t>1995</t>
        </is>
      </c>
      <c r="Q1182" t="inlineStr">
        <is>
          <t>spa</t>
        </is>
      </c>
      <c r="R1182" t="inlineStr">
        <is>
          <t xml:space="preserve">ve </t>
        </is>
      </c>
      <c r="T1182" t="inlineStr">
        <is>
          <t xml:space="preserve">PQ </t>
        </is>
      </c>
      <c r="U1182" t="n">
        <v>1</v>
      </c>
      <c r="V1182" t="n">
        <v>1</v>
      </c>
      <c r="W1182" t="inlineStr">
        <is>
          <t>2002-07-29</t>
        </is>
      </c>
      <c r="X1182" t="inlineStr">
        <is>
          <t>2002-07-29</t>
        </is>
      </c>
      <c r="Y1182" t="inlineStr">
        <is>
          <t>2002-07-29</t>
        </is>
      </c>
      <c r="Z1182" t="inlineStr">
        <is>
          <t>2002-07-29</t>
        </is>
      </c>
      <c r="AA1182" t="n">
        <v>7</v>
      </c>
      <c r="AB1182" t="n">
        <v>7</v>
      </c>
      <c r="AC1182" t="n">
        <v>7</v>
      </c>
      <c r="AD1182" t="n">
        <v>1</v>
      </c>
      <c r="AE1182" t="n">
        <v>1</v>
      </c>
      <c r="AF1182" t="n">
        <v>0</v>
      </c>
      <c r="AG1182" t="n">
        <v>0</v>
      </c>
      <c r="AH1182" t="n">
        <v>0</v>
      </c>
      <c r="AI1182" t="n">
        <v>0</v>
      </c>
      <c r="AJ1182" t="n">
        <v>0</v>
      </c>
      <c r="AK1182" t="n">
        <v>0</v>
      </c>
      <c r="AL1182" t="n">
        <v>0</v>
      </c>
      <c r="AM1182" t="n">
        <v>0</v>
      </c>
      <c r="AN1182" t="n">
        <v>0</v>
      </c>
      <c r="AO1182" t="n">
        <v>0</v>
      </c>
      <c r="AP1182" t="n">
        <v>0</v>
      </c>
      <c r="AQ1182" t="n">
        <v>0</v>
      </c>
      <c r="AR1182" t="inlineStr">
        <is>
          <t>No</t>
        </is>
      </c>
      <c r="AS1182" t="inlineStr">
        <is>
          <t>No</t>
        </is>
      </c>
      <c r="AU1182">
        <f>HYPERLINK("https://creighton-primo.hosted.exlibrisgroup.com/primo-explore/search?tab=default_tab&amp;search_scope=EVERYTHING&amp;vid=01CRU&amp;lang=en_US&amp;offset=0&amp;query=any,contains,991003848509702656","Catalog Record")</f>
        <v/>
      </c>
      <c r="AV1182">
        <f>HYPERLINK("http://www.worldcat.org/oclc/50132734","WorldCat Record")</f>
        <v/>
      </c>
      <c r="AW1182" t="inlineStr">
        <is>
          <t>147788798:spa</t>
        </is>
      </c>
      <c r="AX1182" t="inlineStr">
        <is>
          <t>50132734</t>
        </is>
      </c>
      <c r="AY1182" t="inlineStr">
        <is>
          <t>991003848509702656</t>
        </is>
      </c>
      <c r="AZ1182" t="inlineStr">
        <is>
          <t>991003848509702656</t>
        </is>
      </c>
      <c r="BA1182" t="inlineStr">
        <is>
          <t>2271241640002656</t>
        </is>
      </c>
      <c r="BB1182" t="inlineStr">
        <is>
          <t>BOOK</t>
        </is>
      </c>
      <c r="BD1182" t="inlineStr">
        <is>
          <t>9789806263949</t>
        </is>
      </c>
      <c r="BE1182" t="inlineStr">
        <is>
          <t>32285004630173</t>
        </is>
      </c>
      <c r="BF1182" t="inlineStr">
        <is>
          <t>893512445</t>
        </is>
      </c>
    </row>
    <row r="1183">
      <c r="A1183" t="inlineStr">
        <is>
          <t>No</t>
        </is>
      </c>
      <c r="B1183" t="inlineStr">
        <is>
          <t>CURAL</t>
        </is>
      </c>
      <c r="C1183" t="inlineStr">
        <is>
          <t>SHELVES</t>
        </is>
      </c>
      <c r="D1183" t="inlineStr">
        <is>
          <t>PQ8531 .C37 1987</t>
        </is>
      </c>
      <c r="E1183" t="inlineStr">
        <is>
          <t>0                      PQ 8531000C  37          1987</t>
        </is>
      </c>
      <c r="F1183" t="inlineStr">
        <is>
          <t>Debajo de un considero me puse a considerar-- / Lubio Cardozo.</t>
        </is>
      </c>
      <c r="H1183" t="inlineStr">
        <is>
          <t>No</t>
        </is>
      </c>
      <c r="I1183" t="inlineStr">
        <is>
          <t>1</t>
        </is>
      </c>
      <c r="J1183" t="inlineStr">
        <is>
          <t>No</t>
        </is>
      </c>
      <c r="K1183" t="inlineStr">
        <is>
          <t>No</t>
        </is>
      </c>
      <c r="L1183" t="inlineStr">
        <is>
          <t>0</t>
        </is>
      </c>
      <c r="M1183" t="inlineStr">
        <is>
          <t>Cardozo, Lubio.</t>
        </is>
      </c>
      <c r="N1183" t="inlineStr">
        <is>
          <t>Caracas : Academia Nacional de la Historia, 1987.</t>
        </is>
      </c>
      <c r="O1183" t="inlineStr">
        <is>
          <t>1987</t>
        </is>
      </c>
      <c r="Q1183" t="inlineStr">
        <is>
          <t>spa</t>
        </is>
      </c>
      <c r="R1183" t="inlineStr">
        <is>
          <t xml:space="preserve">ve </t>
        </is>
      </c>
      <c r="S1183" t="inlineStr">
        <is>
          <t>El Libro menor ; 114</t>
        </is>
      </c>
      <c r="T1183" t="inlineStr">
        <is>
          <t xml:space="preserve">PQ </t>
        </is>
      </c>
      <c r="U1183" t="n">
        <v>1</v>
      </c>
      <c r="V1183" t="n">
        <v>1</v>
      </c>
      <c r="W1183" t="inlineStr">
        <is>
          <t>2004-08-05</t>
        </is>
      </c>
      <c r="X1183" t="inlineStr">
        <is>
          <t>2004-08-05</t>
        </is>
      </c>
      <c r="Y1183" t="inlineStr">
        <is>
          <t>2004-08-05</t>
        </is>
      </c>
      <c r="Z1183" t="inlineStr">
        <is>
          <t>2004-08-05</t>
        </is>
      </c>
      <c r="AA1183" t="n">
        <v>27</v>
      </c>
      <c r="AB1183" t="n">
        <v>23</v>
      </c>
      <c r="AC1183" t="n">
        <v>25</v>
      </c>
      <c r="AD1183" t="n">
        <v>1</v>
      </c>
      <c r="AE1183" t="n">
        <v>1</v>
      </c>
      <c r="AF1183" t="n">
        <v>0</v>
      </c>
      <c r="AG1183" t="n">
        <v>0</v>
      </c>
      <c r="AH1183" t="n">
        <v>0</v>
      </c>
      <c r="AI1183" t="n">
        <v>0</v>
      </c>
      <c r="AJ1183" t="n">
        <v>0</v>
      </c>
      <c r="AK1183" t="n">
        <v>0</v>
      </c>
      <c r="AL1183" t="n">
        <v>0</v>
      </c>
      <c r="AM1183" t="n">
        <v>0</v>
      </c>
      <c r="AN1183" t="n">
        <v>0</v>
      </c>
      <c r="AO1183" t="n">
        <v>0</v>
      </c>
      <c r="AP1183" t="n">
        <v>0</v>
      </c>
      <c r="AQ1183" t="n">
        <v>0</v>
      </c>
      <c r="AR1183" t="inlineStr">
        <is>
          <t>No</t>
        </is>
      </c>
      <c r="AS1183" t="inlineStr">
        <is>
          <t>Yes</t>
        </is>
      </c>
      <c r="AT1183">
        <f>HYPERLINK("http://catalog.hathitrust.org/Record/101163436","HathiTrust Record")</f>
        <v/>
      </c>
      <c r="AU1183">
        <f>HYPERLINK("https://creighton-primo.hosted.exlibrisgroup.com/primo-explore/search?tab=default_tab&amp;search_scope=EVERYTHING&amp;vid=01CRU&amp;lang=en_US&amp;offset=0&amp;query=any,contains,991004340519702656","Catalog Record")</f>
        <v/>
      </c>
      <c r="AV1183">
        <f>HYPERLINK("http://www.worldcat.org/oclc/19513911","WorldCat Record")</f>
        <v/>
      </c>
      <c r="AW1183" t="inlineStr">
        <is>
          <t>21335847:spa</t>
        </is>
      </c>
      <c r="AX1183" t="inlineStr">
        <is>
          <t>19513911</t>
        </is>
      </c>
      <c r="AY1183" t="inlineStr">
        <is>
          <t>991004340519702656</t>
        </is>
      </c>
      <c r="AZ1183" t="inlineStr">
        <is>
          <t>991004340519702656</t>
        </is>
      </c>
      <c r="BA1183" t="inlineStr">
        <is>
          <t>2260500520002656</t>
        </is>
      </c>
      <c r="BB1183" t="inlineStr">
        <is>
          <t>BOOK</t>
        </is>
      </c>
      <c r="BD1183" t="inlineStr">
        <is>
          <t>9789802221202</t>
        </is>
      </c>
      <c r="BE1183" t="inlineStr">
        <is>
          <t>32285004929807</t>
        </is>
      </c>
      <c r="BF1183" t="inlineStr">
        <is>
          <t>893337599</t>
        </is>
      </c>
    </row>
    <row r="1184">
      <c r="A1184" t="inlineStr">
        <is>
          <t>No</t>
        </is>
      </c>
      <c r="B1184" t="inlineStr">
        <is>
          <t>CURAL</t>
        </is>
      </c>
      <c r="C1184" t="inlineStr">
        <is>
          <t>SHELVES</t>
        </is>
      </c>
      <c r="D1184" t="inlineStr">
        <is>
          <t>PQ8531 .D5 1966</t>
        </is>
      </c>
      <c r="E1184" t="inlineStr">
        <is>
          <t>0                      PQ 8531000D  5           1966</t>
        </is>
      </c>
      <c r="F1184" t="inlineStr">
        <is>
          <t>La antigua y la moderna literatura venezolana : estudio histórico-crítico, con antología / Pedro Diaz Seijas.</t>
        </is>
      </c>
      <c r="H1184" t="inlineStr">
        <is>
          <t>No</t>
        </is>
      </c>
      <c r="I1184" t="inlineStr">
        <is>
          <t>1</t>
        </is>
      </c>
      <c r="J1184" t="inlineStr">
        <is>
          <t>No</t>
        </is>
      </c>
      <c r="K1184" t="inlineStr">
        <is>
          <t>No</t>
        </is>
      </c>
      <c r="L1184" t="inlineStr">
        <is>
          <t>0</t>
        </is>
      </c>
      <c r="M1184" t="inlineStr">
        <is>
          <t>Díaz Seijas, Pedro.</t>
        </is>
      </c>
      <c r="N1184" t="inlineStr">
        <is>
          <t>Caracas : Ediciones Armitano, 1966.</t>
        </is>
      </c>
      <c r="O1184" t="inlineStr">
        <is>
          <t>1966</t>
        </is>
      </c>
      <c r="P1184" t="inlineStr">
        <is>
          <t>1. ed.</t>
        </is>
      </c>
      <c r="Q1184" t="inlineStr">
        <is>
          <t>spa</t>
        </is>
      </c>
      <c r="R1184" t="inlineStr">
        <is>
          <t xml:space="preserve">ve </t>
        </is>
      </c>
      <c r="T1184" t="inlineStr">
        <is>
          <t xml:space="preserve">PQ </t>
        </is>
      </c>
      <c r="U1184" t="n">
        <v>1</v>
      </c>
      <c r="V1184" t="n">
        <v>1</v>
      </c>
      <c r="W1184" t="inlineStr">
        <is>
          <t>2001-10-30</t>
        </is>
      </c>
      <c r="X1184" t="inlineStr">
        <is>
          <t>2001-10-30</t>
        </is>
      </c>
      <c r="Y1184" t="inlineStr">
        <is>
          <t>2001-10-29</t>
        </is>
      </c>
      <c r="Z1184" t="inlineStr">
        <is>
          <t>2001-10-29</t>
        </is>
      </c>
      <c r="AA1184" t="n">
        <v>89</v>
      </c>
      <c r="AB1184" t="n">
        <v>71</v>
      </c>
      <c r="AC1184" t="n">
        <v>74</v>
      </c>
      <c r="AD1184" t="n">
        <v>2</v>
      </c>
      <c r="AE1184" t="n">
        <v>2</v>
      </c>
      <c r="AF1184" t="n">
        <v>1</v>
      </c>
      <c r="AG1184" t="n">
        <v>1</v>
      </c>
      <c r="AH1184" t="n">
        <v>0</v>
      </c>
      <c r="AI1184" t="n">
        <v>0</v>
      </c>
      <c r="AJ1184" t="n">
        <v>0</v>
      </c>
      <c r="AK1184" t="n">
        <v>0</v>
      </c>
      <c r="AL1184" t="n">
        <v>0</v>
      </c>
      <c r="AM1184" t="n">
        <v>0</v>
      </c>
      <c r="AN1184" t="n">
        <v>1</v>
      </c>
      <c r="AO1184" t="n">
        <v>1</v>
      </c>
      <c r="AP1184" t="n">
        <v>0</v>
      </c>
      <c r="AQ1184" t="n">
        <v>0</v>
      </c>
      <c r="AR1184" t="inlineStr">
        <is>
          <t>No</t>
        </is>
      </c>
      <c r="AS1184" t="inlineStr">
        <is>
          <t>Yes</t>
        </is>
      </c>
      <c r="AT1184">
        <f>HYPERLINK("http://catalog.hathitrust.org/Record/009005913","HathiTrust Record")</f>
        <v/>
      </c>
      <c r="AU1184">
        <f>HYPERLINK("https://creighton-primo.hosted.exlibrisgroup.com/primo-explore/search?tab=default_tab&amp;search_scope=EVERYTHING&amp;vid=01CRU&amp;lang=en_US&amp;offset=0&amp;query=any,contains,991003664659702656","Catalog Record")</f>
        <v/>
      </c>
      <c r="AV1184">
        <f>HYPERLINK("http://www.worldcat.org/oclc/603272","WorldCat Record")</f>
        <v/>
      </c>
      <c r="AW1184" t="inlineStr">
        <is>
          <t>367280535:spa</t>
        </is>
      </c>
      <c r="AX1184" t="inlineStr">
        <is>
          <t>603272</t>
        </is>
      </c>
      <c r="AY1184" t="inlineStr">
        <is>
          <t>991003664659702656</t>
        </is>
      </c>
      <c r="AZ1184" t="inlineStr">
        <is>
          <t>991003664659702656</t>
        </is>
      </c>
      <c r="BA1184" t="inlineStr">
        <is>
          <t>2260294090002656</t>
        </is>
      </c>
      <c r="BB1184" t="inlineStr">
        <is>
          <t>BOOK</t>
        </is>
      </c>
      <c r="BE1184" t="inlineStr">
        <is>
          <t>32285004416201</t>
        </is>
      </c>
      <c r="BF1184" t="inlineStr">
        <is>
          <t>893893972</t>
        </is>
      </c>
    </row>
    <row r="1185">
      <c r="A1185" t="inlineStr">
        <is>
          <t>No</t>
        </is>
      </c>
      <c r="B1185" t="inlineStr">
        <is>
          <t>CURAL</t>
        </is>
      </c>
      <c r="C1185" t="inlineStr">
        <is>
          <t>SHELVES</t>
        </is>
      </c>
      <c r="D1185" t="inlineStr">
        <is>
          <t>PQ8531 .D54 1974</t>
        </is>
      </c>
      <c r="E1185" t="inlineStr">
        <is>
          <t>0                      PQ 8531000D  54          1974</t>
        </is>
      </c>
      <c r="F1185" t="inlineStr">
        <is>
          <t>Diccionario general de la literatura venezolana : autores.</t>
        </is>
      </c>
      <c r="H1185" t="inlineStr">
        <is>
          <t>No</t>
        </is>
      </c>
      <c r="I1185" t="inlineStr">
        <is>
          <t>1</t>
        </is>
      </c>
      <c r="J1185" t="inlineStr">
        <is>
          <t>No</t>
        </is>
      </c>
      <c r="K1185" t="inlineStr">
        <is>
          <t>No</t>
        </is>
      </c>
      <c r="L1185" t="inlineStr">
        <is>
          <t>0</t>
        </is>
      </c>
      <c r="N1185" t="inlineStr">
        <is>
          <t>Mérida, Venezuela, Centro de Investigaciones Literarias, Universidad de los Andes, 1974.</t>
        </is>
      </c>
      <c r="O1185" t="inlineStr">
        <is>
          <t>1974</t>
        </is>
      </c>
      <c r="Q1185" t="inlineStr">
        <is>
          <t>spa</t>
        </is>
      </c>
      <c r="R1185" t="inlineStr">
        <is>
          <t xml:space="preserve">ve </t>
        </is>
      </c>
      <c r="T1185" t="inlineStr">
        <is>
          <t xml:space="preserve">PQ </t>
        </is>
      </c>
      <c r="U1185" t="n">
        <v>1</v>
      </c>
      <c r="V1185" t="n">
        <v>1</v>
      </c>
      <c r="W1185" t="inlineStr">
        <is>
          <t>2004-08-09</t>
        </is>
      </c>
      <c r="X1185" t="inlineStr">
        <is>
          <t>2004-08-09</t>
        </is>
      </c>
      <c r="Y1185" t="inlineStr">
        <is>
          <t>2004-08-09</t>
        </is>
      </c>
      <c r="Z1185" t="inlineStr">
        <is>
          <t>2004-08-09</t>
        </is>
      </c>
      <c r="AA1185" t="n">
        <v>55</v>
      </c>
      <c r="AB1185" t="n">
        <v>46</v>
      </c>
      <c r="AC1185" t="n">
        <v>49</v>
      </c>
      <c r="AD1185" t="n">
        <v>1</v>
      </c>
      <c r="AE1185" t="n">
        <v>1</v>
      </c>
      <c r="AF1185" t="n">
        <v>1</v>
      </c>
      <c r="AG1185" t="n">
        <v>1</v>
      </c>
      <c r="AH1185" t="n">
        <v>0</v>
      </c>
      <c r="AI1185" t="n">
        <v>0</v>
      </c>
      <c r="AJ1185" t="n">
        <v>1</v>
      </c>
      <c r="AK1185" t="n">
        <v>1</v>
      </c>
      <c r="AL1185" t="n">
        <v>1</v>
      </c>
      <c r="AM1185" t="n">
        <v>1</v>
      </c>
      <c r="AN1185" t="n">
        <v>0</v>
      </c>
      <c r="AO1185" t="n">
        <v>0</v>
      </c>
      <c r="AP1185" t="n">
        <v>0</v>
      </c>
      <c r="AQ1185" t="n">
        <v>0</v>
      </c>
      <c r="AR1185" t="inlineStr">
        <is>
          <t>No</t>
        </is>
      </c>
      <c r="AS1185" t="inlineStr">
        <is>
          <t>Yes</t>
        </is>
      </c>
      <c r="AT1185">
        <f>HYPERLINK("http://catalog.hathitrust.org/Record/007395345","HathiTrust Record")</f>
        <v/>
      </c>
      <c r="AU1185">
        <f>HYPERLINK("https://creighton-primo.hosted.exlibrisgroup.com/primo-explore/search?tab=default_tab&amp;search_scope=EVERYTHING&amp;vid=01CRU&amp;lang=en_US&amp;offset=0&amp;query=any,contains,991004342619702656","Catalog Record")</f>
        <v/>
      </c>
      <c r="AV1185">
        <f>HYPERLINK("http://www.worldcat.org/oclc/1303601","WorldCat Record")</f>
        <v/>
      </c>
      <c r="AW1185" t="inlineStr">
        <is>
          <t>2171835:spa</t>
        </is>
      </c>
      <c r="AX1185" t="inlineStr">
        <is>
          <t>1303601</t>
        </is>
      </c>
      <c r="AY1185" t="inlineStr">
        <is>
          <t>991004342619702656</t>
        </is>
      </c>
      <c r="AZ1185" t="inlineStr">
        <is>
          <t>991004342619702656</t>
        </is>
      </c>
      <c r="BA1185" t="inlineStr">
        <is>
          <t>2267775490002656</t>
        </is>
      </c>
      <c r="BB1185" t="inlineStr">
        <is>
          <t>BOOK</t>
        </is>
      </c>
      <c r="BE1185" t="inlineStr">
        <is>
          <t>32285004980156</t>
        </is>
      </c>
      <c r="BF1185" t="inlineStr">
        <is>
          <t>893593574</t>
        </is>
      </c>
    </row>
    <row r="1186">
      <c r="A1186" t="inlineStr">
        <is>
          <t>No</t>
        </is>
      </c>
      <c r="B1186" t="inlineStr">
        <is>
          <t>CURAL</t>
        </is>
      </c>
      <c r="C1186" t="inlineStr">
        <is>
          <t>SHELVES</t>
        </is>
      </c>
      <c r="D1186" t="inlineStr">
        <is>
          <t>PQ8531 .M37 1991</t>
        </is>
      </c>
      <c r="E1186" t="inlineStr">
        <is>
          <t>0                      PQ 8531000M  37          1991</t>
        </is>
      </c>
      <c r="F1186" t="inlineStr">
        <is>
          <t>Relecturas : ensayos de crítica literaria venezolana / Alexis Márquez Rodríguez.</t>
        </is>
      </c>
      <c r="H1186" t="inlineStr">
        <is>
          <t>No</t>
        </is>
      </c>
      <c r="I1186" t="inlineStr">
        <is>
          <t>1</t>
        </is>
      </c>
      <c r="J1186" t="inlineStr">
        <is>
          <t>No</t>
        </is>
      </c>
      <c r="K1186" t="inlineStr">
        <is>
          <t>No</t>
        </is>
      </c>
      <c r="L1186" t="inlineStr">
        <is>
          <t>0</t>
        </is>
      </c>
      <c r="M1186" t="inlineStr">
        <is>
          <t>Márquez Rodríguez, Alexis.</t>
        </is>
      </c>
      <c r="N1186" t="inlineStr">
        <is>
          <t>Caracas : Contexto Audiovisual 3 : Pomaire, 1991.</t>
        </is>
      </c>
      <c r="O1186" t="inlineStr">
        <is>
          <t>1991</t>
        </is>
      </c>
      <c r="Q1186" t="inlineStr">
        <is>
          <t>spa</t>
        </is>
      </c>
      <c r="R1186" t="inlineStr">
        <is>
          <t xml:space="preserve">ve </t>
        </is>
      </c>
      <c r="T1186" t="inlineStr">
        <is>
          <t xml:space="preserve">PQ </t>
        </is>
      </c>
      <c r="U1186" t="n">
        <v>1</v>
      </c>
      <c r="V1186" t="n">
        <v>1</v>
      </c>
      <c r="W1186" t="inlineStr">
        <is>
          <t>2002-06-13</t>
        </is>
      </c>
      <c r="X1186" t="inlineStr">
        <is>
          <t>2002-06-13</t>
        </is>
      </c>
      <c r="Y1186" t="inlineStr">
        <is>
          <t>2002-06-13</t>
        </is>
      </c>
      <c r="Z1186" t="inlineStr">
        <is>
          <t>2002-06-13</t>
        </is>
      </c>
      <c r="AA1186" t="n">
        <v>54</v>
      </c>
      <c r="AB1186" t="n">
        <v>51</v>
      </c>
      <c r="AC1186" t="n">
        <v>53</v>
      </c>
      <c r="AD1186" t="n">
        <v>1</v>
      </c>
      <c r="AE1186" t="n">
        <v>1</v>
      </c>
      <c r="AF1186" t="n">
        <v>2</v>
      </c>
      <c r="AG1186" t="n">
        <v>2</v>
      </c>
      <c r="AH1186" t="n">
        <v>1</v>
      </c>
      <c r="AI1186" t="n">
        <v>1</v>
      </c>
      <c r="AJ1186" t="n">
        <v>1</v>
      </c>
      <c r="AK1186" t="n">
        <v>1</v>
      </c>
      <c r="AL1186" t="n">
        <v>1</v>
      </c>
      <c r="AM1186" t="n">
        <v>1</v>
      </c>
      <c r="AN1186" t="n">
        <v>0</v>
      </c>
      <c r="AO1186" t="n">
        <v>0</v>
      </c>
      <c r="AP1186" t="n">
        <v>0</v>
      </c>
      <c r="AQ1186" t="n">
        <v>0</v>
      </c>
      <c r="AR1186" t="inlineStr">
        <is>
          <t>No</t>
        </is>
      </c>
      <c r="AS1186" t="inlineStr">
        <is>
          <t>Yes</t>
        </is>
      </c>
      <c r="AT1186">
        <f>HYPERLINK("http://catalog.hathitrust.org/Record/101163438","HathiTrust Record")</f>
        <v/>
      </c>
      <c r="AU1186">
        <f>HYPERLINK("https://creighton-primo.hosted.exlibrisgroup.com/primo-explore/search?tab=default_tab&amp;search_scope=EVERYTHING&amp;vid=01CRU&amp;lang=en_US&amp;offset=0&amp;query=any,contains,991003818639702656","Catalog Record")</f>
        <v/>
      </c>
      <c r="AV1186">
        <f>HYPERLINK("http://www.worldcat.org/oclc/25423447","WorldCat Record")</f>
        <v/>
      </c>
      <c r="AW1186" t="inlineStr">
        <is>
          <t>906124783:spa</t>
        </is>
      </c>
      <c r="AX1186" t="inlineStr">
        <is>
          <t>25423447</t>
        </is>
      </c>
      <c r="AY1186" t="inlineStr">
        <is>
          <t>991003818639702656</t>
        </is>
      </c>
      <c r="AZ1186" t="inlineStr">
        <is>
          <t>991003818639702656</t>
        </is>
      </c>
      <c r="BA1186" t="inlineStr">
        <is>
          <t>2256768320002656</t>
        </is>
      </c>
      <c r="BB1186" t="inlineStr">
        <is>
          <t>BOOK</t>
        </is>
      </c>
      <c r="BD1186" t="inlineStr">
        <is>
          <t>9789802900558</t>
        </is>
      </c>
      <c r="BE1186" t="inlineStr">
        <is>
          <t>32285004494117</t>
        </is>
      </c>
      <c r="BF1186" t="inlineStr">
        <is>
          <t>893781446</t>
        </is>
      </c>
    </row>
    <row r="1187">
      <c r="A1187" t="inlineStr">
        <is>
          <t>No</t>
        </is>
      </c>
      <c r="B1187" t="inlineStr">
        <is>
          <t>CURAL</t>
        </is>
      </c>
      <c r="C1187" t="inlineStr">
        <is>
          <t>SHELVES</t>
        </is>
      </c>
      <c r="D1187" t="inlineStr">
        <is>
          <t>PQ8532 .L37 1996</t>
        </is>
      </c>
      <c r="E1187" t="inlineStr">
        <is>
          <t>0                      PQ 8532000L  37          1996</t>
        </is>
      </c>
      <c r="F1187" t="inlineStr">
        <is>
          <t>Bibliografía integral de la novela venezolana (1842-1994) / Osvaldo Larrazábal Henríquez, Gustavo Luis Carrera.</t>
        </is>
      </c>
      <c r="H1187" t="inlineStr">
        <is>
          <t>No</t>
        </is>
      </c>
      <c r="I1187" t="inlineStr">
        <is>
          <t>1</t>
        </is>
      </c>
      <c r="J1187" t="inlineStr">
        <is>
          <t>No</t>
        </is>
      </c>
      <c r="K1187" t="inlineStr">
        <is>
          <t>No</t>
        </is>
      </c>
      <c r="L1187" t="inlineStr">
        <is>
          <t>0</t>
        </is>
      </c>
      <c r="M1187" t="inlineStr">
        <is>
          <t>Larrazábal Henríquez, Osvaldo.</t>
        </is>
      </c>
      <c r="N1187" t="inlineStr">
        <is>
          <t>Caracas : Universidad Central de Venezuela, Facultad de Humanidades y Educación, Instituto de Investigaciones Literarias, Comisión de Estudios de Postgrado, 1996.</t>
        </is>
      </c>
      <c r="O1187" t="inlineStr">
        <is>
          <t>1996</t>
        </is>
      </c>
      <c r="Q1187" t="inlineStr">
        <is>
          <t>spa</t>
        </is>
      </c>
      <c r="R1187" t="inlineStr">
        <is>
          <t xml:space="preserve">ve </t>
        </is>
      </c>
      <c r="T1187" t="inlineStr">
        <is>
          <t xml:space="preserve">PQ </t>
        </is>
      </c>
      <c r="U1187" t="n">
        <v>1</v>
      </c>
      <c r="V1187" t="n">
        <v>1</v>
      </c>
      <c r="W1187" t="inlineStr">
        <is>
          <t>2004-08-09</t>
        </is>
      </c>
      <c r="X1187" t="inlineStr">
        <is>
          <t>2004-08-09</t>
        </is>
      </c>
      <c r="Y1187" t="inlineStr">
        <is>
          <t>2004-08-09</t>
        </is>
      </c>
      <c r="Z1187" t="inlineStr">
        <is>
          <t>2004-08-09</t>
        </is>
      </c>
      <c r="AA1187" t="n">
        <v>26</v>
      </c>
      <c r="AB1187" t="n">
        <v>25</v>
      </c>
      <c r="AC1187" t="n">
        <v>31</v>
      </c>
      <c r="AD1187" t="n">
        <v>1</v>
      </c>
      <c r="AE1187" t="n">
        <v>1</v>
      </c>
      <c r="AF1187" t="n">
        <v>1</v>
      </c>
      <c r="AG1187" t="n">
        <v>2</v>
      </c>
      <c r="AH1187" t="n">
        <v>0</v>
      </c>
      <c r="AI1187" t="n">
        <v>0</v>
      </c>
      <c r="AJ1187" t="n">
        <v>0</v>
      </c>
      <c r="AK1187" t="n">
        <v>1</v>
      </c>
      <c r="AL1187" t="n">
        <v>1</v>
      </c>
      <c r="AM1187" t="n">
        <v>2</v>
      </c>
      <c r="AN1187" t="n">
        <v>0</v>
      </c>
      <c r="AO1187" t="n">
        <v>0</v>
      </c>
      <c r="AP1187" t="n">
        <v>0</v>
      </c>
      <c r="AQ1187" t="n">
        <v>0</v>
      </c>
      <c r="AR1187" t="inlineStr">
        <is>
          <t>No</t>
        </is>
      </c>
      <c r="AS1187" t="inlineStr">
        <is>
          <t>No</t>
        </is>
      </c>
      <c r="AU1187">
        <f>HYPERLINK("https://creighton-primo.hosted.exlibrisgroup.com/primo-explore/search?tab=default_tab&amp;search_scope=EVERYTHING&amp;vid=01CRU&amp;lang=en_US&amp;offset=0&amp;query=any,contains,991004342169702656","Catalog Record")</f>
        <v/>
      </c>
      <c r="AV1187">
        <f>HYPERLINK("http://www.worldcat.org/oclc/36963970","WorldCat Record")</f>
        <v/>
      </c>
      <c r="AW1187" t="inlineStr">
        <is>
          <t>3857042774:spa</t>
        </is>
      </c>
      <c r="AX1187" t="inlineStr">
        <is>
          <t>36963970</t>
        </is>
      </c>
      <c r="AY1187" t="inlineStr">
        <is>
          <t>991004342169702656</t>
        </is>
      </c>
      <c r="AZ1187" t="inlineStr">
        <is>
          <t>991004342169702656</t>
        </is>
      </c>
      <c r="BA1187" t="inlineStr">
        <is>
          <t>2258065150002656</t>
        </is>
      </c>
      <c r="BB1187" t="inlineStr">
        <is>
          <t>BOOK</t>
        </is>
      </c>
      <c r="BD1187" t="inlineStr">
        <is>
          <t>9789800009932</t>
        </is>
      </c>
      <c r="BE1187" t="inlineStr">
        <is>
          <t>32285004980107</t>
        </is>
      </c>
      <c r="BF1187" t="inlineStr">
        <is>
          <t>893775908</t>
        </is>
      </c>
    </row>
    <row r="1188">
      <c r="A1188" t="inlineStr">
        <is>
          <t>No</t>
        </is>
      </c>
      <c r="B1188" t="inlineStr">
        <is>
          <t>CURAL</t>
        </is>
      </c>
      <c r="C1188" t="inlineStr">
        <is>
          <t>SHELVES</t>
        </is>
      </c>
      <c r="D1188" t="inlineStr">
        <is>
          <t>PQ8532 .P5 1961</t>
        </is>
      </c>
      <c r="E1188" t="inlineStr">
        <is>
          <t>0                      PQ 8532000P  5           1961</t>
        </is>
      </c>
      <c r="F1188" t="inlineStr">
        <is>
          <t>Estudios de literatura venezolana / Mariano Picon Salas.</t>
        </is>
      </c>
      <c r="H1188" t="inlineStr">
        <is>
          <t>No</t>
        </is>
      </c>
      <c r="I1188" t="inlineStr">
        <is>
          <t>1</t>
        </is>
      </c>
      <c r="J1188" t="inlineStr">
        <is>
          <t>No</t>
        </is>
      </c>
      <c r="K1188" t="inlineStr">
        <is>
          <t>No</t>
        </is>
      </c>
      <c r="L1188" t="inlineStr">
        <is>
          <t>0</t>
        </is>
      </c>
      <c r="M1188" t="inlineStr">
        <is>
          <t>Picón-Salas, Mariano, 1901-1965.</t>
        </is>
      </c>
      <c r="N1188" t="inlineStr">
        <is>
          <t>Caracas : Ediciones EDIME, 1961.</t>
        </is>
      </c>
      <c r="O1188" t="inlineStr">
        <is>
          <t>1961</t>
        </is>
      </c>
      <c r="Q1188" t="inlineStr">
        <is>
          <t>spa</t>
        </is>
      </c>
      <c r="R1188" t="inlineStr">
        <is>
          <t xml:space="preserve">ve </t>
        </is>
      </c>
      <c r="S1188" t="inlineStr">
        <is>
          <t>Grandes libros venezolanos</t>
        </is>
      </c>
      <c r="T1188" t="inlineStr">
        <is>
          <t xml:space="preserve">PQ </t>
        </is>
      </c>
      <c r="U1188" t="n">
        <v>1</v>
      </c>
      <c r="V1188" t="n">
        <v>1</v>
      </c>
      <c r="W1188" t="inlineStr">
        <is>
          <t>2002-06-20</t>
        </is>
      </c>
      <c r="X1188" t="inlineStr">
        <is>
          <t>2002-06-20</t>
        </is>
      </c>
      <c r="Y1188" t="inlineStr">
        <is>
          <t>2002-06-20</t>
        </is>
      </c>
      <c r="Z1188" t="inlineStr">
        <is>
          <t>2002-06-20</t>
        </is>
      </c>
      <c r="AA1188" t="n">
        <v>139</v>
      </c>
      <c r="AB1188" t="n">
        <v>118</v>
      </c>
      <c r="AC1188" t="n">
        <v>121</v>
      </c>
      <c r="AD1188" t="n">
        <v>3</v>
      </c>
      <c r="AE1188" t="n">
        <v>3</v>
      </c>
      <c r="AF1188" t="n">
        <v>7</v>
      </c>
      <c r="AG1188" t="n">
        <v>7</v>
      </c>
      <c r="AH1188" t="n">
        <v>0</v>
      </c>
      <c r="AI1188" t="n">
        <v>0</v>
      </c>
      <c r="AJ1188" t="n">
        <v>2</v>
      </c>
      <c r="AK1188" t="n">
        <v>2</v>
      </c>
      <c r="AL1188" t="n">
        <v>4</v>
      </c>
      <c r="AM1188" t="n">
        <v>4</v>
      </c>
      <c r="AN1188" t="n">
        <v>2</v>
      </c>
      <c r="AO1188" t="n">
        <v>2</v>
      </c>
      <c r="AP1188" t="n">
        <v>0</v>
      </c>
      <c r="AQ1188" t="n">
        <v>0</v>
      </c>
      <c r="AR1188" t="inlineStr">
        <is>
          <t>No</t>
        </is>
      </c>
      <c r="AS1188" t="inlineStr">
        <is>
          <t>Yes</t>
        </is>
      </c>
      <c r="AT1188">
        <f>HYPERLINK("http://catalog.hathitrust.org/Record/001049032","HathiTrust Record")</f>
        <v/>
      </c>
      <c r="AU1188">
        <f>HYPERLINK("https://creighton-primo.hosted.exlibrisgroup.com/primo-explore/search?tab=default_tab&amp;search_scope=EVERYTHING&amp;vid=01CRU&amp;lang=en_US&amp;offset=0&amp;query=any,contains,991003829389702656","Catalog Record")</f>
        <v/>
      </c>
      <c r="AV1188">
        <f>HYPERLINK("http://www.worldcat.org/oclc/2569740","WorldCat Record")</f>
        <v/>
      </c>
      <c r="AW1188" t="inlineStr">
        <is>
          <t>3856383320:spa</t>
        </is>
      </c>
      <c r="AX1188" t="inlineStr">
        <is>
          <t>2569740</t>
        </is>
      </c>
      <c r="AY1188" t="inlineStr">
        <is>
          <t>991003829389702656</t>
        </is>
      </c>
      <c r="AZ1188" t="inlineStr">
        <is>
          <t>991003829389702656</t>
        </is>
      </c>
      <c r="BA1188" t="inlineStr">
        <is>
          <t>2269021040002656</t>
        </is>
      </c>
      <c r="BB1188" t="inlineStr">
        <is>
          <t>BOOK</t>
        </is>
      </c>
      <c r="BE1188" t="inlineStr">
        <is>
          <t>32285004495304</t>
        </is>
      </c>
      <c r="BF1188" t="inlineStr">
        <is>
          <t>893535646</t>
        </is>
      </c>
    </row>
    <row r="1189">
      <c r="A1189" t="inlineStr">
        <is>
          <t>No</t>
        </is>
      </c>
      <c r="B1189" t="inlineStr">
        <is>
          <t>CURAL</t>
        </is>
      </c>
      <c r="C1189" t="inlineStr">
        <is>
          <t>SHELVES</t>
        </is>
      </c>
      <c r="D1189" t="inlineStr">
        <is>
          <t>PQ8532 .P5 1984</t>
        </is>
      </c>
      <c r="E1189" t="inlineStr">
        <is>
          <t>0                      PQ 8532000P  5           1984</t>
        </is>
      </c>
      <c r="F1189" t="inlineStr">
        <is>
          <t>Formaciaon y proceso de la literatura venezolana / Mariano Picaon Salas ; presentaciaon de Maraia Fernanda Palacios ; bibliografaia de Rafael Angel Rivas.</t>
        </is>
      </c>
      <c r="H1189" t="inlineStr">
        <is>
          <t>No</t>
        </is>
      </c>
      <c r="I1189" t="inlineStr">
        <is>
          <t>1</t>
        </is>
      </c>
      <c r="J1189" t="inlineStr">
        <is>
          <t>No</t>
        </is>
      </c>
      <c r="K1189" t="inlineStr">
        <is>
          <t>No</t>
        </is>
      </c>
      <c r="L1189" t="inlineStr">
        <is>
          <t>0</t>
        </is>
      </c>
      <c r="M1189" t="inlineStr">
        <is>
          <t>Picón-Salas, Mariano, 1901-1965.</t>
        </is>
      </c>
      <c r="N1189" t="inlineStr">
        <is>
          <t>Caracas : Monte Avila, 1984.</t>
        </is>
      </c>
      <c r="O1189" t="inlineStr">
        <is>
          <t>1984</t>
        </is>
      </c>
      <c r="P1189" t="inlineStr">
        <is>
          <t>1a ed. en M.A.</t>
        </is>
      </c>
      <c r="Q1189" t="inlineStr">
        <is>
          <t>spa</t>
        </is>
      </c>
      <c r="R1189" t="inlineStr">
        <is>
          <t xml:space="preserve">ve </t>
        </is>
      </c>
      <c r="T1189" t="inlineStr">
        <is>
          <t xml:space="preserve">PQ </t>
        </is>
      </c>
      <c r="U1189" t="n">
        <v>3</v>
      </c>
      <c r="V1189" t="n">
        <v>3</v>
      </c>
      <c r="W1189" t="inlineStr">
        <is>
          <t>2004-08-03</t>
        </is>
      </c>
      <c r="X1189" t="inlineStr">
        <is>
          <t>2004-08-03</t>
        </is>
      </c>
      <c r="Y1189" t="inlineStr">
        <is>
          <t>2004-08-03</t>
        </is>
      </c>
      <c r="Z1189" t="inlineStr">
        <is>
          <t>2004-08-03</t>
        </is>
      </c>
      <c r="AA1189" t="n">
        <v>65</v>
      </c>
      <c r="AB1189" t="n">
        <v>52</v>
      </c>
      <c r="AC1189" t="n">
        <v>129</v>
      </c>
      <c r="AD1189" t="n">
        <v>1</v>
      </c>
      <c r="AE1189" t="n">
        <v>1</v>
      </c>
      <c r="AF1189" t="n">
        <v>2</v>
      </c>
      <c r="AG1189" t="n">
        <v>6</v>
      </c>
      <c r="AH1189" t="n">
        <v>1</v>
      </c>
      <c r="AI1189" t="n">
        <v>3</v>
      </c>
      <c r="AJ1189" t="n">
        <v>2</v>
      </c>
      <c r="AK1189" t="n">
        <v>4</v>
      </c>
      <c r="AL1189" t="n">
        <v>0</v>
      </c>
      <c r="AM1189" t="n">
        <v>1</v>
      </c>
      <c r="AN1189" t="n">
        <v>0</v>
      </c>
      <c r="AO1189" t="n">
        <v>0</v>
      </c>
      <c r="AP1189" t="n">
        <v>0</v>
      </c>
      <c r="AQ1189" t="n">
        <v>0</v>
      </c>
      <c r="AR1189" t="inlineStr">
        <is>
          <t>No</t>
        </is>
      </c>
      <c r="AS1189" t="inlineStr">
        <is>
          <t>No</t>
        </is>
      </c>
      <c r="AU1189">
        <f>HYPERLINK("https://creighton-primo.hosted.exlibrisgroup.com/primo-explore/search?tab=default_tab&amp;search_scope=EVERYTHING&amp;vid=01CRU&amp;lang=en_US&amp;offset=0&amp;query=any,contains,991004334009702656","Catalog Record")</f>
        <v/>
      </c>
      <c r="AV1189">
        <f>HYPERLINK("http://www.worldcat.org/oclc/12495782","WorldCat Record")</f>
        <v/>
      </c>
      <c r="AW1189" t="inlineStr">
        <is>
          <t>1800320:spa</t>
        </is>
      </c>
      <c r="AX1189" t="inlineStr">
        <is>
          <t>12495782</t>
        </is>
      </c>
      <c r="AY1189" t="inlineStr">
        <is>
          <t>991004334009702656</t>
        </is>
      </c>
      <c r="AZ1189" t="inlineStr">
        <is>
          <t>991004334009702656</t>
        </is>
      </c>
      <c r="BA1189" t="inlineStr">
        <is>
          <t>2267655060002656</t>
        </is>
      </c>
      <c r="BB1189" t="inlineStr">
        <is>
          <t>BOOK</t>
        </is>
      </c>
      <c r="BE1189" t="inlineStr">
        <is>
          <t>32285004927405</t>
        </is>
      </c>
      <c r="BF1189" t="inlineStr">
        <is>
          <t>893888582</t>
        </is>
      </c>
    </row>
    <row r="1190">
      <c r="A1190" t="inlineStr">
        <is>
          <t>No</t>
        </is>
      </c>
      <c r="B1190" t="inlineStr">
        <is>
          <t>CURAL</t>
        </is>
      </c>
      <c r="C1190" t="inlineStr">
        <is>
          <t>SHELVES</t>
        </is>
      </c>
      <c r="D1190" t="inlineStr">
        <is>
          <t>PQ8532 .R3 1990</t>
        </is>
      </c>
      <c r="E1190" t="inlineStr">
        <is>
          <t>0                      PQ 8532000R  3           1990</t>
        </is>
      </c>
      <c r="F1190" t="inlineStr">
        <is>
          <t>Ensayos sobre literatura venezolana / Angel Rama ; prólogo, Rafael Castillo Zapata.</t>
        </is>
      </c>
      <c r="H1190" t="inlineStr">
        <is>
          <t>No</t>
        </is>
      </c>
      <c r="I1190" t="inlineStr">
        <is>
          <t>1</t>
        </is>
      </c>
      <c r="J1190" t="inlineStr">
        <is>
          <t>No</t>
        </is>
      </c>
      <c r="K1190" t="inlineStr">
        <is>
          <t>Yes</t>
        </is>
      </c>
      <c r="L1190" t="inlineStr">
        <is>
          <t>0</t>
        </is>
      </c>
      <c r="M1190" t="inlineStr">
        <is>
          <t>Rama, Angel.</t>
        </is>
      </c>
      <c r="N1190" t="inlineStr">
        <is>
          <t>Caracas : Monte Avila Editores, 1990, c1985.</t>
        </is>
      </c>
      <c r="O1190" t="inlineStr">
        <is>
          <t>1990</t>
        </is>
      </c>
      <c r="P1190" t="inlineStr">
        <is>
          <t>1. ed. en M.A.</t>
        </is>
      </c>
      <c r="Q1190" t="inlineStr">
        <is>
          <t>spa</t>
        </is>
      </c>
      <c r="R1190" t="inlineStr">
        <is>
          <t xml:space="preserve">ve </t>
        </is>
      </c>
      <c r="T1190" t="inlineStr">
        <is>
          <t xml:space="preserve">PQ </t>
        </is>
      </c>
      <c r="U1190" t="n">
        <v>1</v>
      </c>
      <c r="V1190" t="n">
        <v>1</v>
      </c>
      <c r="W1190" t="inlineStr">
        <is>
          <t>2005-05-12</t>
        </is>
      </c>
      <c r="X1190" t="inlineStr">
        <is>
          <t>2005-05-12</t>
        </is>
      </c>
      <c r="Y1190" t="inlineStr">
        <is>
          <t>2002-02-05</t>
        </is>
      </c>
      <c r="Z1190" t="inlineStr">
        <is>
          <t>2002-02-05</t>
        </is>
      </c>
      <c r="AA1190" t="n">
        <v>67</v>
      </c>
      <c r="AB1190" t="n">
        <v>57</v>
      </c>
      <c r="AC1190" t="n">
        <v>70</v>
      </c>
      <c r="AD1190" t="n">
        <v>1</v>
      </c>
      <c r="AE1190" t="n">
        <v>1</v>
      </c>
      <c r="AF1190" t="n">
        <v>3</v>
      </c>
      <c r="AG1190" t="n">
        <v>3</v>
      </c>
      <c r="AH1190" t="n">
        <v>1</v>
      </c>
      <c r="AI1190" t="n">
        <v>1</v>
      </c>
      <c r="AJ1190" t="n">
        <v>1</v>
      </c>
      <c r="AK1190" t="n">
        <v>1</v>
      </c>
      <c r="AL1190" t="n">
        <v>3</v>
      </c>
      <c r="AM1190" t="n">
        <v>3</v>
      </c>
      <c r="AN1190" t="n">
        <v>0</v>
      </c>
      <c r="AO1190" t="n">
        <v>0</v>
      </c>
      <c r="AP1190" t="n">
        <v>0</v>
      </c>
      <c r="AQ1190" t="n">
        <v>0</v>
      </c>
      <c r="AR1190" t="inlineStr">
        <is>
          <t>No</t>
        </is>
      </c>
      <c r="AS1190" t="inlineStr">
        <is>
          <t>No</t>
        </is>
      </c>
      <c r="AU1190">
        <f>HYPERLINK("https://creighton-primo.hosted.exlibrisgroup.com/primo-explore/search?tab=default_tab&amp;search_scope=EVERYTHING&amp;vid=01CRU&amp;lang=en_US&amp;offset=0&amp;query=any,contains,991003730359702656","Catalog Record")</f>
        <v/>
      </c>
      <c r="AV1190">
        <f>HYPERLINK("http://www.worldcat.org/oclc/23089781","WorldCat Record")</f>
        <v/>
      </c>
      <c r="AW1190" t="inlineStr">
        <is>
          <t>24629418:spa</t>
        </is>
      </c>
      <c r="AX1190" t="inlineStr">
        <is>
          <t>23089781</t>
        </is>
      </c>
      <c r="AY1190" t="inlineStr">
        <is>
          <t>991003730359702656</t>
        </is>
      </c>
      <c r="AZ1190" t="inlineStr">
        <is>
          <t>991003730359702656</t>
        </is>
      </c>
      <c r="BA1190" t="inlineStr">
        <is>
          <t>2263350880002656</t>
        </is>
      </c>
      <c r="BB1190" t="inlineStr">
        <is>
          <t>BOOK</t>
        </is>
      </c>
      <c r="BD1190" t="inlineStr">
        <is>
          <t>9789800103050</t>
        </is>
      </c>
      <c r="BE1190" t="inlineStr">
        <is>
          <t>32285004452339</t>
        </is>
      </c>
      <c r="BF1190" t="inlineStr">
        <is>
          <t>893318340</t>
        </is>
      </c>
    </row>
    <row r="1191">
      <c r="A1191" t="inlineStr">
        <is>
          <t>No</t>
        </is>
      </c>
      <c r="B1191" t="inlineStr">
        <is>
          <t>CURAL</t>
        </is>
      </c>
      <c r="C1191" t="inlineStr">
        <is>
          <t>SHELVES</t>
        </is>
      </c>
      <c r="D1191" t="inlineStr">
        <is>
          <t>PQ8532 .R3 1991</t>
        </is>
      </c>
      <c r="E1191" t="inlineStr">
        <is>
          <t>0                      PQ 8532000R  3           1991</t>
        </is>
      </c>
      <c r="F1191" t="inlineStr">
        <is>
          <t>Ensayos sobre literatura venezolana / Angel Rama ; prólogo, Rafael Castillo Zapata.</t>
        </is>
      </c>
      <c r="H1191" t="inlineStr">
        <is>
          <t>No</t>
        </is>
      </c>
      <c r="I1191" t="inlineStr">
        <is>
          <t>1</t>
        </is>
      </c>
      <c r="J1191" t="inlineStr">
        <is>
          <t>No</t>
        </is>
      </c>
      <c r="K1191" t="inlineStr">
        <is>
          <t>Yes</t>
        </is>
      </c>
      <c r="L1191" t="inlineStr">
        <is>
          <t>0</t>
        </is>
      </c>
      <c r="M1191" t="inlineStr">
        <is>
          <t>Rama, Angel.</t>
        </is>
      </c>
      <c r="N1191" t="inlineStr">
        <is>
          <t>Caracas : Monte Avila Editores, 1991.</t>
        </is>
      </c>
      <c r="O1191" t="inlineStr">
        <is>
          <t>1991</t>
        </is>
      </c>
      <c r="P1191" t="inlineStr">
        <is>
          <t>2. ed.</t>
        </is>
      </c>
      <c r="Q1191" t="inlineStr">
        <is>
          <t>spa</t>
        </is>
      </c>
      <c r="R1191" t="inlineStr">
        <is>
          <t xml:space="preserve">ve </t>
        </is>
      </c>
      <c r="S1191" t="inlineStr">
        <is>
          <t>Estudios</t>
        </is>
      </c>
      <c r="T1191" t="inlineStr">
        <is>
          <t xml:space="preserve">PQ </t>
        </is>
      </c>
      <c r="U1191" t="n">
        <v>4</v>
      </c>
      <c r="V1191" t="n">
        <v>4</v>
      </c>
      <c r="W1191" t="inlineStr">
        <is>
          <t>1997-11-05</t>
        </is>
      </c>
      <c r="X1191" t="inlineStr">
        <is>
          <t>1997-11-05</t>
        </is>
      </c>
      <c r="Y1191" t="inlineStr">
        <is>
          <t>1995-08-17</t>
        </is>
      </c>
      <c r="Z1191" t="inlineStr">
        <is>
          <t>1995-08-17</t>
        </is>
      </c>
      <c r="AA1191" t="n">
        <v>20</v>
      </c>
      <c r="AB1191" t="n">
        <v>14</v>
      </c>
      <c r="AC1191" t="n">
        <v>70</v>
      </c>
      <c r="AD1191" t="n">
        <v>1</v>
      </c>
      <c r="AE1191" t="n">
        <v>1</v>
      </c>
      <c r="AF1191" t="n">
        <v>0</v>
      </c>
      <c r="AG1191" t="n">
        <v>3</v>
      </c>
      <c r="AH1191" t="n">
        <v>0</v>
      </c>
      <c r="AI1191" t="n">
        <v>1</v>
      </c>
      <c r="AJ1191" t="n">
        <v>0</v>
      </c>
      <c r="AK1191" t="n">
        <v>1</v>
      </c>
      <c r="AL1191" t="n">
        <v>0</v>
      </c>
      <c r="AM1191" t="n">
        <v>3</v>
      </c>
      <c r="AN1191" t="n">
        <v>0</v>
      </c>
      <c r="AO1191" t="n">
        <v>0</v>
      </c>
      <c r="AP1191" t="n">
        <v>0</v>
      </c>
      <c r="AQ1191" t="n">
        <v>0</v>
      </c>
      <c r="AR1191" t="inlineStr">
        <is>
          <t>No</t>
        </is>
      </c>
      <c r="AS1191" t="inlineStr">
        <is>
          <t>No</t>
        </is>
      </c>
      <c r="AU1191">
        <f>HYPERLINK("https://creighton-primo.hosted.exlibrisgroup.com/primo-explore/search?tab=default_tab&amp;search_scope=EVERYTHING&amp;vid=01CRU&amp;lang=en_US&amp;offset=0&amp;query=any,contains,991002090929702656","Catalog Record")</f>
        <v/>
      </c>
      <c r="AV1191">
        <f>HYPERLINK("http://www.worldcat.org/oclc/26821860","WorldCat Record")</f>
        <v/>
      </c>
      <c r="AW1191" t="inlineStr">
        <is>
          <t>24629418:spa</t>
        </is>
      </c>
      <c r="AX1191" t="inlineStr">
        <is>
          <t>26821860</t>
        </is>
      </c>
      <c r="AY1191" t="inlineStr">
        <is>
          <t>991002090929702656</t>
        </is>
      </c>
      <c r="AZ1191" t="inlineStr">
        <is>
          <t>991002090929702656</t>
        </is>
      </c>
      <c r="BA1191" t="inlineStr">
        <is>
          <t>2268571830002656</t>
        </is>
      </c>
      <c r="BB1191" t="inlineStr">
        <is>
          <t>BOOK</t>
        </is>
      </c>
      <c r="BD1191" t="inlineStr">
        <is>
          <t>9789800103050</t>
        </is>
      </c>
      <c r="BE1191" t="inlineStr">
        <is>
          <t>32285002080470</t>
        </is>
      </c>
      <c r="BF1191" t="inlineStr">
        <is>
          <t>893898374</t>
        </is>
      </c>
    </row>
    <row r="1192">
      <c r="A1192" t="inlineStr">
        <is>
          <t>No</t>
        </is>
      </c>
      <c r="B1192" t="inlineStr">
        <is>
          <t>CURAL</t>
        </is>
      </c>
      <c r="C1192" t="inlineStr">
        <is>
          <t>SHELVES</t>
        </is>
      </c>
      <c r="D1192" t="inlineStr">
        <is>
          <t>PQ8532 .S26 1988</t>
        </is>
      </c>
      <c r="E1192" t="inlineStr">
        <is>
          <t>0                      PQ 8532000S  26          1988</t>
        </is>
      </c>
      <c r="F1192" t="inlineStr">
        <is>
          <t>La lámpara encendida : ensayos / Juan Carlos Santaella.</t>
        </is>
      </c>
      <c r="H1192" t="inlineStr">
        <is>
          <t>No</t>
        </is>
      </c>
      <c r="I1192" t="inlineStr">
        <is>
          <t>1</t>
        </is>
      </c>
      <c r="J1192" t="inlineStr">
        <is>
          <t>No</t>
        </is>
      </c>
      <c r="K1192" t="inlineStr">
        <is>
          <t>No</t>
        </is>
      </c>
      <c r="L1192" t="inlineStr">
        <is>
          <t>0</t>
        </is>
      </c>
      <c r="M1192" t="inlineStr">
        <is>
          <t>Santaella, Juan Carlos, 1956-</t>
        </is>
      </c>
      <c r="N1192" t="inlineStr">
        <is>
          <t>Caracas : Academia Nacional de la Historia, 1988.</t>
        </is>
      </c>
      <c r="O1192" t="inlineStr">
        <is>
          <t>1988</t>
        </is>
      </c>
      <c r="Q1192" t="inlineStr">
        <is>
          <t>spa</t>
        </is>
      </c>
      <c r="R1192" t="inlineStr">
        <is>
          <t xml:space="preserve">ve </t>
        </is>
      </c>
      <c r="S1192" t="inlineStr">
        <is>
          <t>El Libro menor ; 126</t>
        </is>
      </c>
      <c r="T1192" t="inlineStr">
        <is>
          <t xml:space="preserve">PQ </t>
        </is>
      </c>
      <c r="U1192" t="n">
        <v>1</v>
      </c>
      <c r="V1192" t="n">
        <v>1</v>
      </c>
      <c r="W1192" t="inlineStr">
        <is>
          <t>2004-08-03</t>
        </is>
      </c>
      <c r="X1192" t="inlineStr">
        <is>
          <t>2004-08-03</t>
        </is>
      </c>
      <c r="Y1192" t="inlineStr">
        <is>
          <t>2004-08-03</t>
        </is>
      </c>
      <c r="Z1192" t="inlineStr">
        <is>
          <t>2004-08-03</t>
        </is>
      </c>
      <c r="AA1192" t="n">
        <v>23</v>
      </c>
      <c r="AB1192" t="n">
        <v>20</v>
      </c>
      <c r="AC1192" t="n">
        <v>22</v>
      </c>
      <c r="AD1192" t="n">
        <v>1</v>
      </c>
      <c r="AE1192" t="n">
        <v>1</v>
      </c>
      <c r="AF1192" t="n">
        <v>0</v>
      </c>
      <c r="AG1192" t="n">
        <v>0</v>
      </c>
      <c r="AH1192" t="n">
        <v>0</v>
      </c>
      <c r="AI1192" t="n">
        <v>0</v>
      </c>
      <c r="AJ1192" t="n">
        <v>0</v>
      </c>
      <c r="AK1192" t="n">
        <v>0</v>
      </c>
      <c r="AL1192" t="n">
        <v>0</v>
      </c>
      <c r="AM1192" t="n">
        <v>0</v>
      </c>
      <c r="AN1192" t="n">
        <v>0</v>
      </c>
      <c r="AO1192" t="n">
        <v>0</v>
      </c>
      <c r="AP1192" t="n">
        <v>0</v>
      </c>
      <c r="AQ1192" t="n">
        <v>0</v>
      </c>
      <c r="AR1192" t="inlineStr">
        <is>
          <t>No</t>
        </is>
      </c>
      <c r="AS1192" t="inlineStr">
        <is>
          <t>Yes</t>
        </is>
      </c>
      <c r="AT1192">
        <f>HYPERLINK("http://catalog.hathitrust.org/Record/010127741","HathiTrust Record")</f>
        <v/>
      </c>
      <c r="AU1192">
        <f>HYPERLINK("https://creighton-primo.hosted.exlibrisgroup.com/primo-explore/search?tab=default_tab&amp;search_scope=EVERYTHING&amp;vid=01CRU&amp;lang=en_US&amp;offset=0&amp;query=any,contains,991004335289702656","Catalog Record")</f>
        <v/>
      </c>
      <c r="AV1192">
        <f>HYPERLINK("http://www.worldcat.org/oclc/22656774","WorldCat Record")</f>
        <v/>
      </c>
      <c r="AW1192" t="inlineStr">
        <is>
          <t>908495730:spa</t>
        </is>
      </c>
      <c r="AX1192" t="inlineStr">
        <is>
          <t>22656774</t>
        </is>
      </c>
      <c r="AY1192" t="inlineStr">
        <is>
          <t>991004335289702656</t>
        </is>
      </c>
      <c r="AZ1192" t="inlineStr">
        <is>
          <t>991004335289702656</t>
        </is>
      </c>
      <c r="BA1192" t="inlineStr">
        <is>
          <t>2272671180002656</t>
        </is>
      </c>
      <c r="BB1192" t="inlineStr">
        <is>
          <t>BOOK</t>
        </is>
      </c>
      <c r="BD1192" t="inlineStr">
        <is>
          <t>9789802222193</t>
        </is>
      </c>
      <c r="BE1192" t="inlineStr">
        <is>
          <t>32285004927801</t>
        </is>
      </c>
      <c r="BF1192" t="inlineStr">
        <is>
          <t>893417502</t>
        </is>
      </c>
    </row>
    <row r="1193">
      <c r="A1193" t="inlineStr">
        <is>
          <t>No</t>
        </is>
      </c>
      <c r="B1193" t="inlineStr">
        <is>
          <t>CURAL</t>
        </is>
      </c>
      <c r="C1193" t="inlineStr">
        <is>
          <t>SHELVES</t>
        </is>
      </c>
      <c r="D1193" t="inlineStr">
        <is>
          <t>PQ8537 .T4 1973</t>
        </is>
      </c>
      <c r="E1193" t="inlineStr">
        <is>
          <t>0                      PQ 8537000T  4           1973</t>
        </is>
      </c>
      <c r="F1193" t="inlineStr">
        <is>
          <t>Perfiles venezolanos. Prólogo de Pedro Díaz Seijas.</t>
        </is>
      </c>
      <c r="H1193" t="inlineStr">
        <is>
          <t>No</t>
        </is>
      </c>
      <c r="I1193" t="inlineStr">
        <is>
          <t>1</t>
        </is>
      </c>
      <c r="J1193" t="inlineStr">
        <is>
          <t>No</t>
        </is>
      </c>
      <c r="K1193" t="inlineStr">
        <is>
          <t>No</t>
        </is>
      </c>
      <c r="L1193" t="inlineStr">
        <is>
          <t>0</t>
        </is>
      </c>
      <c r="M1193" t="inlineStr">
        <is>
          <t>Tejera, Felipe.</t>
        </is>
      </c>
      <c r="N1193" t="inlineStr">
        <is>
          <t>Caracas, Presidencia de la República, 1973.</t>
        </is>
      </c>
      <c r="O1193" t="inlineStr">
        <is>
          <t>1973</t>
        </is>
      </c>
      <c r="Q1193" t="inlineStr">
        <is>
          <t>spa</t>
        </is>
      </c>
      <c r="R1193" t="inlineStr">
        <is>
          <t xml:space="preserve">ve </t>
        </is>
      </c>
      <c r="S1193" t="inlineStr">
        <is>
          <t>Fuentes para la historia de la literatura venezolana ; no. 5</t>
        </is>
      </c>
      <c r="T1193" t="inlineStr">
        <is>
          <t xml:space="preserve">PQ </t>
        </is>
      </c>
      <c r="U1193" t="n">
        <v>1</v>
      </c>
      <c r="V1193" t="n">
        <v>1</v>
      </c>
      <c r="W1193" t="inlineStr">
        <is>
          <t>2002-08-27</t>
        </is>
      </c>
      <c r="X1193" t="inlineStr">
        <is>
          <t>2002-08-27</t>
        </is>
      </c>
      <c r="Y1193" t="inlineStr">
        <is>
          <t>2002-08-27</t>
        </is>
      </c>
      <c r="Z1193" t="inlineStr">
        <is>
          <t>2002-08-27</t>
        </is>
      </c>
      <c r="AA1193" t="n">
        <v>37</v>
      </c>
      <c r="AB1193" t="n">
        <v>35</v>
      </c>
      <c r="AC1193" t="n">
        <v>42</v>
      </c>
      <c r="AD1193" t="n">
        <v>2</v>
      </c>
      <c r="AE1193" t="n">
        <v>2</v>
      </c>
      <c r="AF1193" t="n">
        <v>2</v>
      </c>
      <c r="AG1193" t="n">
        <v>2</v>
      </c>
      <c r="AH1193" t="n">
        <v>0</v>
      </c>
      <c r="AI1193" t="n">
        <v>0</v>
      </c>
      <c r="AJ1193" t="n">
        <v>1</v>
      </c>
      <c r="AK1193" t="n">
        <v>1</v>
      </c>
      <c r="AL1193" t="n">
        <v>0</v>
      </c>
      <c r="AM1193" t="n">
        <v>0</v>
      </c>
      <c r="AN1193" t="n">
        <v>1</v>
      </c>
      <c r="AO1193" t="n">
        <v>1</v>
      </c>
      <c r="AP1193" t="n">
        <v>0</v>
      </c>
      <c r="AQ1193" t="n">
        <v>0</v>
      </c>
      <c r="AR1193" t="inlineStr">
        <is>
          <t>No</t>
        </is>
      </c>
      <c r="AS1193" t="inlineStr">
        <is>
          <t>Yes</t>
        </is>
      </c>
      <c r="AT1193">
        <f>HYPERLINK("http://catalog.hathitrust.org/Record/009005939","HathiTrust Record")</f>
        <v/>
      </c>
      <c r="AU1193">
        <f>HYPERLINK("https://creighton-primo.hosted.exlibrisgroup.com/primo-explore/search?tab=default_tab&amp;search_scope=EVERYTHING&amp;vid=01CRU&amp;lang=en_US&amp;offset=0&amp;query=any,contains,991003870069702656","Catalog Record")</f>
        <v/>
      </c>
      <c r="AV1193">
        <f>HYPERLINK("http://www.worldcat.org/oclc/1353840","WorldCat Record")</f>
        <v/>
      </c>
      <c r="AW1193" t="inlineStr">
        <is>
          <t>3855319458:spa</t>
        </is>
      </c>
      <c r="AX1193" t="inlineStr">
        <is>
          <t>1353840</t>
        </is>
      </c>
      <c r="AY1193" t="inlineStr">
        <is>
          <t>991003870069702656</t>
        </is>
      </c>
      <c r="AZ1193" t="inlineStr">
        <is>
          <t>991003870069702656</t>
        </is>
      </c>
      <c r="BA1193" t="inlineStr">
        <is>
          <t>2262566980002656</t>
        </is>
      </c>
      <c r="BB1193" t="inlineStr">
        <is>
          <t>BOOK</t>
        </is>
      </c>
      <c r="BE1193" t="inlineStr">
        <is>
          <t>32285004644984</t>
        </is>
      </c>
      <c r="BF1193" t="inlineStr">
        <is>
          <t>893881650</t>
        </is>
      </c>
    </row>
    <row r="1194">
      <c r="A1194" t="inlineStr">
        <is>
          <t>No</t>
        </is>
      </c>
      <c r="B1194" t="inlineStr">
        <is>
          <t>CURAL</t>
        </is>
      </c>
      <c r="C1194" t="inlineStr">
        <is>
          <t>SHELVES</t>
        </is>
      </c>
      <c r="D1194" t="inlineStr">
        <is>
          <t>PQ8538 .M43 1980</t>
        </is>
      </c>
      <c r="E1194" t="inlineStr">
        <is>
          <t>0                      PQ 8538000M  43          1980</t>
        </is>
      </c>
      <c r="F1194" t="inlineStr">
        <is>
          <t>Ochenta años de literatura venezolana : (1900-1980) / José Ramón Medina ; cronología y bibliografía por Horacio Jorge Becco.</t>
        </is>
      </c>
      <c r="H1194" t="inlineStr">
        <is>
          <t>No</t>
        </is>
      </c>
      <c r="I1194" t="inlineStr">
        <is>
          <t>1</t>
        </is>
      </c>
      <c r="J1194" t="inlineStr">
        <is>
          <t>No</t>
        </is>
      </c>
      <c r="K1194" t="inlineStr">
        <is>
          <t>No</t>
        </is>
      </c>
      <c r="L1194" t="inlineStr">
        <is>
          <t>0</t>
        </is>
      </c>
      <c r="M1194" t="inlineStr">
        <is>
          <t>Medina, José Ramón.</t>
        </is>
      </c>
      <c r="N1194" t="inlineStr">
        <is>
          <t>Caracas : Monte Avila, c1980.</t>
        </is>
      </c>
      <c r="O1194" t="inlineStr">
        <is>
          <t>1980</t>
        </is>
      </c>
      <c r="Q1194" t="inlineStr">
        <is>
          <t>spa</t>
        </is>
      </c>
      <c r="R1194" t="inlineStr">
        <is>
          <t xml:space="preserve">ve </t>
        </is>
      </c>
      <c r="S1194" t="inlineStr">
        <is>
          <t>Colección Estudios</t>
        </is>
      </c>
      <c r="T1194" t="inlineStr">
        <is>
          <t xml:space="preserve">PQ </t>
        </is>
      </c>
      <c r="U1194" t="n">
        <v>1</v>
      </c>
      <c r="V1194" t="n">
        <v>1</v>
      </c>
      <c r="W1194" t="inlineStr">
        <is>
          <t>2002-02-05</t>
        </is>
      </c>
      <c r="X1194" t="inlineStr">
        <is>
          <t>2002-02-05</t>
        </is>
      </c>
      <c r="Y1194" t="inlineStr">
        <is>
          <t>2002-02-05</t>
        </is>
      </c>
      <c r="Z1194" t="inlineStr">
        <is>
          <t>2002-02-05</t>
        </is>
      </c>
      <c r="AA1194" t="n">
        <v>35</v>
      </c>
      <c r="AB1194" t="n">
        <v>19</v>
      </c>
      <c r="AC1194" t="n">
        <v>65</v>
      </c>
      <c r="AD1194" t="n">
        <v>1</v>
      </c>
      <c r="AE1194" t="n">
        <v>2</v>
      </c>
      <c r="AF1194" t="n">
        <v>0</v>
      </c>
      <c r="AG1194" t="n">
        <v>3</v>
      </c>
      <c r="AH1194" t="n">
        <v>0</v>
      </c>
      <c r="AI1194" t="n">
        <v>0</v>
      </c>
      <c r="AJ1194" t="n">
        <v>0</v>
      </c>
      <c r="AK1194" t="n">
        <v>1</v>
      </c>
      <c r="AL1194" t="n">
        <v>0</v>
      </c>
      <c r="AM1194" t="n">
        <v>1</v>
      </c>
      <c r="AN1194" t="n">
        <v>0</v>
      </c>
      <c r="AO1194" t="n">
        <v>1</v>
      </c>
      <c r="AP1194" t="n">
        <v>0</v>
      </c>
      <c r="AQ1194" t="n">
        <v>0</v>
      </c>
      <c r="AR1194" t="inlineStr">
        <is>
          <t>No</t>
        </is>
      </c>
      <c r="AS1194" t="inlineStr">
        <is>
          <t>No</t>
        </is>
      </c>
      <c r="AU1194">
        <f>HYPERLINK("https://creighton-primo.hosted.exlibrisgroup.com/primo-explore/search?tab=default_tab&amp;search_scope=EVERYTHING&amp;vid=01CRU&amp;lang=en_US&amp;offset=0&amp;query=any,contains,991003730409702656","Catalog Record")</f>
        <v/>
      </c>
      <c r="AV1194">
        <f>HYPERLINK("http://www.worldcat.org/oclc/16628331","WorldCat Record")</f>
        <v/>
      </c>
      <c r="AW1194" t="inlineStr">
        <is>
          <t>12383916:spa</t>
        </is>
      </c>
      <c r="AX1194" t="inlineStr">
        <is>
          <t>16628331</t>
        </is>
      </c>
      <c r="AY1194" t="inlineStr">
        <is>
          <t>991003730409702656</t>
        </is>
      </c>
      <c r="AZ1194" t="inlineStr">
        <is>
          <t>991003730409702656</t>
        </is>
      </c>
      <c r="BA1194" t="inlineStr">
        <is>
          <t>2272217300002656</t>
        </is>
      </c>
      <c r="BB1194" t="inlineStr">
        <is>
          <t>BOOK</t>
        </is>
      </c>
      <c r="BE1194" t="inlineStr">
        <is>
          <t>32285004452362</t>
        </is>
      </c>
      <c r="BF1194" t="inlineStr">
        <is>
          <t>893810140</t>
        </is>
      </c>
    </row>
    <row r="1195">
      <c r="A1195" t="inlineStr">
        <is>
          <t>No</t>
        </is>
      </c>
      <c r="B1195" t="inlineStr">
        <is>
          <t>CURAL</t>
        </is>
      </c>
      <c r="C1195" t="inlineStr">
        <is>
          <t>SHELVES</t>
        </is>
      </c>
      <c r="D1195" t="inlineStr">
        <is>
          <t>PQ8540 .C362 1997</t>
        </is>
      </c>
      <c r="E1195" t="inlineStr">
        <is>
          <t>0                      PQ 8540000C  362         1997</t>
        </is>
      </c>
      <c r="F1195" t="inlineStr">
        <is>
          <t>Paseo por el bosque de la palabra encantada : (ensayos sobre poetas venezolanos contemporáneos, 1940-1980) / Lubio Cardozo.</t>
        </is>
      </c>
      <c r="H1195" t="inlineStr">
        <is>
          <t>No</t>
        </is>
      </c>
      <c r="I1195" t="inlineStr">
        <is>
          <t>1</t>
        </is>
      </c>
      <c r="J1195" t="inlineStr">
        <is>
          <t>No</t>
        </is>
      </c>
      <c r="K1195" t="inlineStr">
        <is>
          <t>No</t>
        </is>
      </c>
      <c r="L1195" t="inlineStr">
        <is>
          <t>0</t>
        </is>
      </c>
      <c r="M1195" t="inlineStr">
        <is>
          <t>Cardozo, Lubio.</t>
        </is>
      </c>
      <c r="N1195" t="inlineStr">
        <is>
          <t>[Mérida, Venezuela] : Casa de las Letras "Mariano Picón Salas", Consejo de Desarrollo Científico, Humanístico y Tecnológico ULA, 1997.</t>
        </is>
      </c>
      <c r="O1195" t="inlineStr">
        <is>
          <t>1997</t>
        </is>
      </c>
      <c r="P1195" t="inlineStr">
        <is>
          <t>1a. ed.</t>
        </is>
      </c>
      <c r="Q1195" t="inlineStr">
        <is>
          <t>spa</t>
        </is>
      </c>
      <c r="R1195" t="inlineStr">
        <is>
          <t xml:space="preserve">ve </t>
        </is>
      </c>
      <c r="S1195" t="inlineStr">
        <is>
          <t>Ensayo</t>
        </is>
      </c>
      <c r="T1195" t="inlineStr">
        <is>
          <t xml:space="preserve">PQ </t>
        </is>
      </c>
      <c r="U1195" t="n">
        <v>1</v>
      </c>
      <c r="V1195" t="n">
        <v>1</v>
      </c>
      <c r="W1195" t="inlineStr">
        <is>
          <t>2004-08-04</t>
        </is>
      </c>
      <c r="X1195" t="inlineStr">
        <is>
          <t>2004-08-04</t>
        </is>
      </c>
      <c r="Y1195" t="inlineStr">
        <is>
          <t>2004-08-04</t>
        </is>
      </c>
      <c r="Z1195" t="inlineStr">
        <is>
          <t>2004-08-04</t>
        </is>
      </c>
      <c r="AA1195" t="n">
        <v>20</v>
      </c>
      <c r="AB1195" t="n">
        <v>20</v>
      </c>
      <c r="AC1195" t="n">
        <v>22</v>
      </c>
      <c r="AD1195" t="n">
        <v>1</v>
      </c>
      <c r="AE1195" t="n">
        <v>1</v>
      </c>
      <c r="AF1195" t="n">
        <v>2</v>
      </c>
      <c r="AG1195" t="n">
        <v>2</v>
      </c>
      <c r="AH1195" t="n">
        <v>0</v>
      </c>
      <c r="AI1195" t="n">
        <v>0</v>
      </c>
      <c r="AJ1195" t="n">
        <v>1</v>
      </c>
      <c r="AK1195" t="n">
        <v>1</v>
      </c>
      <c r="AL1195" t="n">
        <v>2</v>
      </c>
      <c r="AM1195" t="n">
        <v>2</v>
      </c>
      <c r="AN1195" t="n">
        <v>0</v>
      </c>
      <c r="AO1195" t="n">
        <v>0</v>
      </c>
      <c r="AP1195" t="n">
        <v>0</v>
      </c>
      <c r="AQ1195" t="n">
        <v>0</v>
      </c>
      <c r="AR1195" t="inlineStr">
        <is>
          <t>No</t>
        </is>
      </c>
      <c r="AS1195" t="inlineStr">
        <is>
          <t>Yes</t>
        </is>
      </c>
      <c r="AT1195">
        <f>HYPERLINK("http://catalog.hathitrust.org/Record/003295129","HathiTrust Record")</f>
        <v/>
      </c>
      <c r="AU1195">
        <f>HYPERLINK("https://creighton-primo.hosted.exlibrisgroup.com/primo-explore/search?tab=default_tab&amp;search_scope=EVERYTHING&amp;vid=01CRU&amp;lang=en_US&amp;offset=0&amp;query=any,contains,991004336239702656","Catalog Record")</f>
        <v/>
      </c>
      <c r="AV1195">
        <f>HYPERLINK("http://www.worldcat.org/oclc/39042091","WorldCat Record")</f>
        <v/>
      </c>
      <c r="AW1195" t="inlineStr">
        <is>
          <t>19515815:spa</t>
        </is>
      </c>
      <c r="AX1195" t="inlineStr">
        <is>
          <t>39042091</t>
        </is>
      </c>
      <c r="AY1195" t="inlineStr">
        <is>
          <t>991004336239702656</t>
        </is>
      </c>
      <c r="AZ1195" t="inlineStr">
        <is>
          <t>991004336239702656</t>
        </is>
      </c>
      <c r="BA1195" t="inlineStr">
        <is>
          <t>2270112300002656</t>
        </is>
      </c>
      <c r="BB1195" t="inlineStr">
        <is>
          <t>BOOK</t>
        </is>
      </c>
      <c r="BD1195" t="inlineStr">
        <is>
          <t>9789802925872</t>
        </is>
      </c>
      <c r="BE1195" t="inlineStr">
        <is>
          <t>32285004928387</t>
        </is>
      </c>
      <c r="BF1195" t="inlineStr">
        <is>
          <t>893605893</t>
        </is>
      </c>
    </row>
    <row r="1196">
      <c r="A1196" t="inlineStr">
        <is>
          <t>No</t>
        </is>
      </c>
      <c r="B1196" t="inlineStr">
        <is>
          <t>CURAL</t>
        </is>
      </c>
      <c r="C1196" t="inlineStr">
        <is>
          <t>SHELVES</t>
        </is>
      </c>
      <c r="D1196" t="inlineStr">
        <is>
          <t>PQ8541 .M6 1975</t>
        </is>
      </c>
      <c r="E1196" t="inlineStr">
        <is>
          <t>0                      PQ 8541000M  6           1975</t>
        </is>
      </c>
      <c r="F1196" t="inlineStr">
        <is>
          <t>Un enfoque crítico del teatro venezolano / Rubén Monasterios.</t>
        </is>
      </c>
      <c r="H1196" t="inlineStr">
        <is>
          <t>No</t>
        </is>
      </c>
      <c r="I1196" t="inlineStr">
        <is>
          <t>1</t>
        </is>
      </c>
      <c r="J1196" t="inlineStr">
        <is>
          <t>No</t>
        </is>
      </c>
      <c r="K1196" t="inlineStr">
        <is>
          <t>No</t>
        </is>
      </c>
      <c r="L1196" t="inlineStr">
        <is>
          <t>0</t>
        </is>
      </c>
      <c r="M1196" t="inlineStr">
        <is>
          <t>Monasterios, Rubén.</t>
        </is>
      </c>
      <c r="N1196" t="inlineStr">
        <is>
          <t>Caracas : Monte Avila Editores, [1975]</t>
        </is>
      </c>
      <c r="O1196" t="inlineStr">
        <is>
          <t>1975</t>
        </is>
      </c>
      <c r="Q1196" t="inlineStr">
        <is>
          <t>spa</t>
        </is>
      </c>
      <c r="R1196" t="inlineStr">
        <is>
          <t xml:space="preserve">ve </t>
        </is>
      </c>
      <c r="S1196" t="inlineStr">
        <is>
          <t>Colección Temas venezolanos</t>
        </is>
      </c>
      <c r="T1196" t="inlineStr">
        <is>
          <t xml:space="preserve">PQ </t>
        </is>
      </c>
      <c r="U1196" t="n">
        <v>1</v>
      </c>
      <c r="V1196" t="n">
        <v>1</v>
      </c>
      <c r="W1196" t="inlineStr">
        <is>
          <t>2001-12-13</t>
        </is>
      </c>
      <c r="X1196" t="inlineStr">
        <is>
          <t>2001-12-13</t>
        </is>
      </c>
      <c r="Y1196" t="inlineStr">
        <is>
          <t>2001-12-13</t>
        </is>
      </c>
      <c r="Z1196" t="inlineStr">
        <is>
          <t>2001-12-13</t>
        </is>
      </c>
      <c r="AA1196" t="n">
        <v>114</v>
      </c>
      <c r="AB1196" t="n">
        <v>93</v>
      </c>
      <c r="AC1196" t="n">
        <v>102</v>
      </c>
      <c r="AD1196" t="n">
        <v>1</v>
      </c>
      <c r="AE1196" t="n">
        <v>2</v>
      </c>
      <c r="AF1196" t="n">
        <v>3</v>
      </c>
      <c r="AG1196" t="n">
        <v>4</v>
      </c>
      <c r="AH1196" t="n">
        <v>1</v>
      </c>
      <c r="AI1196" t="n">
        <v>1</v>
      </c>
      <c r="AJ1196" t="n">
        <v>2</v>
      </c>
      <c r="AK1196" t="n">
        <v>2</v>
      </c>
      <c r="AL1196" t="n">
        <v>1</v>
      </c>
      <c r="AM1196" t="n">
        <v>1</v>
      </c>
      <c r="AN1196" t="n">
        <v>0</v>
      </c>
      <c r="AO1196" t="n">
        <v>1</v>
      </c>
      <c r="AP1196" t="n">
        <v>0</v>
      </c>
      <c r="AQ1196" t="n">
        <v>0</v>
      </c>
      <c r="AR1196" t="inlineStr">
        <is>
          <t>No</t>
        </is>
      </c>
      <c r="AS1196" t="inlineStr">
        <is>
          <t>Yes</t>
        </is>
      </c>
      <c r="AT1196">
        <f>HYPERLINK("http://catalog.hathitrust.org/Record/006113326","HathiTrust Record")</f>
        <v/>
      </c>
      <c r="AU1196">
        <f>HYPERLINK("https://creighton-primo.hosted.exlibrisgroup.com/primo-explore/search?tab=default_tab&amp;search_scope=EVERYTHING&amp;vid=01CRU&amp;lang=en_US&amp;offset=0&amp;query=any,contains,991003699959702656","Catalog Record")</f>
        <v/>
      </c>
      <c r="AV1196">
        <f>HYPERLINK("http://www.worldcat.org/oclc/2043418","WorldCat Record")</f>
        <v/>
      </c>
      <c r="AW1196" t="inlineStr">
        <is>
          <t>348554091:spa</t>
        </is>
      </c>
      <c r="AX1196" t="inlineStr">
        <is>
          <t>2043418</t>
        </is>
      </c>
      <c r="AY1196" t="inlineStr">
        <is>
          <t>991003699959702656</t>
        </is>
      </c>
      <c r="AZ1196" t="inlineStr">
        <is>
          <t>991003699959702656</t>
        </is>
      </c>
      <c r="BA1196" t="inlineStr">
        <is>
          <t>2272548090002656</t>
        </is>
      </c>
      <c r="BB1196" t="inlineStr">
        <is>
          <t>BOOK</t>
        </is>
      </c>
      <c r="BE1196" t="inlineStr">
        <is>
          <t>32285004428867</t>
        </is>
      </c>
      <c r="BF1196" t="inlineStr">
        <is>
          <t>893416688</t>
        </is>
      </c>
    </row>
    <row r="1197">
      <c r="A1197" t="inlineStr">
        <is>
          <t>No</t>
        </is>
      </c>
      <c r="B1197" t="inlineStr">
        <is>
          <t>CURAL</t>
        </is>
      </c>
      <c r="C1197" t="inlineStr">
        <is>
          <t>SHELVES</t>
        </is>
      </c>
      <c r="D1197" t="inlineStr">
        <is>
          <t>PQ8542 .H53 1995</t>
        </is>
      </c>
      <c r="E1197" t="inlineStr">
        <is>
          <t>0                      PQ 8542000H  53          1995</t>
        </is>
      </c>
      <c r="F1197" t="inlineStr">
        <is>
          <t>La novela moderna en Venezuela / Amarilis Hidalgo de Jesús.</t>
        </is>
      </c>
      <c r="H1197" t="inlineStr">
        <is>
          <t>No</t>
        </is>
      </c>
      <c r="I1197" t="inlineStr">
        <is>
          <t>1</t>
        </is>
      </c>
      <c r="J1197" t="inlineStr">
        <is>
          <t>No</t>
        </is>
      </c>
      <c r="K1197" t="inlineStr">
        <is>
          <t>No</t>
        </is>
      </c>
      <c r="L1197" t="inlineStr">
        <is>
          <t>0</t>
        </is>
      </c>
      <c r="M1197" t="inlineStr">
        <is>
          <t>Hidalgo de Jesús, Amarilis, 1962-</t>
        </is>
      </c>
      <c r="N1197" t="inlineStr">
        <is>
          <t>New York : P. Lang, c1995.</t>
        </is>
      </c>
      <c r="O1197" t="inlineStr">
        <is>
          <t>1995</t>
        </is>
      </c>
      <c r="Q1197" t="inlineStr">
        <is>
          <t>spa</t>
        </is>
      </c>
      <c r="R1197" t="inlineStr">
        <is>
          <t>nyu</t>
        </is>
      </c>
      <c r="S1197" t="inlineStr">
        <is>
          <t>Wor(l)ds of change, 1072-334X ; vol. 1</t>
        </is>
      </c>
      <c r="T1197" t="inlineStr">
        <is>
          <t xml:space="preserve">PQ </t>
        </is>
      </c>
      <c r="U1197" t="n">
        <v>3</v>
      </c>
      <c r="V1197" t="n">
        <v>3</v>
      </c>
      <c r="W1197" t="inlineStr">
        <is>
          <t>1997-10-14</t>
        </is>
      </c>
      <c r="X1197" t="inlineStr">
        <is>
          <t>1997-10-14</t>
        </is>
      </c>
      <c r="Y1197" t="inlineStr">
        <is>
          <t>1997-04-04</t>
        </is>
      </c>
      <c r="Z1197" t="inlineStr">
        <is>
          <t>1997-04-04</t>
        </is>
      </c>
      <c r="AA1197" t="n">
        <v>130</v>
      </c>
      <c r="AB1197" t="n">
        <v>91</v>
      </c>
      <c r="AC1197" t="n">
        <v>93</v>
      </c>
      <c r="AD1197" t="n">
        <v>2</v>
      </c>
      <c r="AE1197" t="n">
        <v>2</v>
      </c>
      <c r="AF1197" t="n">
        <v>5</v>
      </c>
      <c r="AG1197" t="n">
        <v>5</v>
      </c>
      <c r="AH1197" t="n">
        <v>0</v>
      </c>
      <c r="AI1197" t="n">
        <v>0</v>
      </c>
      <c r="AJ1197" t="n">
        <v>3</v>
      </c>
      <c r="AK1197" t="n">
        <v>3</v>
      </c>
      <c r="AL1197" t="n">
        <v>3</v>
      </c>
      <c r="AM1197" t="n">
        <v>3</v>
      </c>
      <c r="AN1197" t="n">
        <v>1</v>
      </c>
      <c r="AO1197" t="n">
        <v>1</v>
      </c>
      <c r="AP1197" t="n">
        <v>0</v>
      </c>
      <c r="AQ1197" t="n">
        <v>0</v>
      </c>
      <c r="AR1197" t="inlineStr">
        <is>
          <t>No</t>
        </is>
      </c>
      <c r="AS1197" t="inlineStr">
        <is>
          <t>Yes</t>
        </is>
      </c>
      <c r="AT1197">
        <f>HYPERLINK("http://catalog.hathitrust.org/Record/003077411","HathiTrust Record")</f>
        <v/>
      </c>
      <c r="AU1197">
        <f>HYPERLINK("https://creighton-primo.hosted.exlibrisgroup.com/primo-explore/search?tab=default_tab&amp;search_scope=EVERYTHING&amp;vid=01CRU&amp;lang=en_US&amp;offset=0&amp;query=any,contains,991002402419702656","Catalog Record")</f>
        <v/>
      </c>
      <c r="AV1197">
        <f>HYPERLINK("http://www.worldcat.org/oclc/31239463","WorldCat Record")</f>
        <v/>
      </c>
      <c r="AW1197" t="inlineStr">
        <is>
          <t>10568556432:spa</t>
        </is>
      </c>
      <c r="AX1197" t="inlineStr">
        <is>
          <t>31239463</t>
        </is>
      </c>
      <c r="AY1197" t="inlineStr">
        <is>
          <t>991002402419702656</t>
        </is>
      </c>
      <c r="AZ1197" t="inlineStr">
        <is>
          <t>991002402419702656</t>
        </is>
      </c>
      <c r="BA1197" t="inlineStr">
        <is>
          <t>2265738900002656</t>
        </is>
      </c>
      <c r="BB1197" t="inlineStr">
        <is>
          <t>BOOK</t>
        </is>
      </c>
      <c r="BD1197" t="inlineStr">
        <is>
          <t>9780820423128</t>
        </is>
      </c>
      <c r="BE1197" t="inlineStr">
        <is>
          <t>32285002479490</t>
        </is>
      </c>
      <c r="BF1197" t="inlineStr">
        <is>
          <t>893322894</t>
        </is>
      </c>
    </row>
    <row r="1198">
      <c r="A1198" t="inlineStr">
        <is>
          <t>No</t>
        </is>
      </c>
      <c r="B1198" t="inlineStr">
        <is>
          <t>CURAL</t>
        </is>
      </c>
      <c r="C1198" t="inlineStr">
        <is>
          <t>SHELVES</t>
        </is>
      </c>
      <c r="D1198" t="inlineStr">
        <is>
          <t>PQ8542 .L3 1972</t>
        </is>
      </c>
      <c r="E1198" t="inlineStr">
        <is>
          <t>0                      PQ 8542000L  3           1972</t>
        </is>
      </c>
      <c r="F1198" t="inlineStr">
        <is>
          <t>10 [i.e. Diez] novelas venezolanas /c [por] Oswaldo Larrazábal.</t>
        </is>
      </c>
      <c r="H1198" t="inlineStr">
        <is>
          <t>No</t>
        </is>
      </c>
      <c r="I1198" t="inlineStr">
        <is>
          <t>1</t>
        </is>
      </c>
      <c r="J1198" t="inlineStr">
        <is>
          <t>No</t>
        </is>
      </c>
      <c r="K1198" t="inlineStr">
        <is>
          <t>No</t>
        </is>
      </c>
      <c r="L1198" t="inlineStr">
        <is>
          <t>0</t>
        </is>
      </c>
      <c r="M1198" t="inlineStr">
        <is>
          <t>Larrazábal Henríquez, Osvaldo.</t>
        </is>
      </c>
      <c r="O1198" t="inlineStr">
        <is>
          <t>1972</t>
        </is>
      </c>
      <c r="Q1198" t="inlineStr">
        <is>
          <t>spa</t>
        </is>
      </c>
      <c r="R1198" t="inlineStr">
        <is>
          <t xml:space="preserve">ve </t>
        </is>
      </c>
      <c r="S1198" t="inlineStr">
        <is>
          <t>Colección Temas venezolanos</t>
        </is>
      </c>
      <c r="T1198" t="inlineStr">
        <is>
          <t xml:space="preserve">PQ </t>
        </is>
      </c>
      <c r="U1198" t="n">
        <v>1</v>
      </c>
      <c r="V1198" t="n">
        <v>1</v>
      </c>
      <c r="W1198" t="inlineStr">
        <is>
          <t>2002-02-19</t>
        </is>
      </c>
      <c r="X1198" t="inlineStr">
        <is>
          <t>2002-02-19</t>
        </is>
      </c>
      <c r="Y1198" t="inlineStr">
        <is>
          <t>2002-02-19</t>
        </is>
      </c>
      <c r="Z1198" t="inlineStr">
        <is>
          <t>2002-02-19</t>
        </is>
      </c>
      <c r="AA1198" t="n">
        <v>112</v>
      </c>
      <c r="AB1198" t="n">
        <v>83</v>
      </c>
      <c r="AC1198" t="n">
        <v>85</v>
      </c>
      <c r="AD1198" t="n">
        <v>2</v>
      </c>
      <c r="AE1198" t="n">
        <v>2</v>
      </c>
      <c r="AF1198" t="n">
        <v>4</v>
      </c>
      <c r="AG1198" t="n">
        <v>5</v>
      </c>
      <c r="AH1198" t="n">
        <v>0</v>
      </c>
      <c r="AI1198" t="n">
        <v>0</v>
      </c>
      <c r="AJ1198" t="n">
        <v>2</v>
      </c>
      <c r="AK1198" t="n">
        <v>3</v>
      </c>
      <c r="AL1198" t="n">
        <v>3</v>
      </c>
      <c r="AM1198" t="n">
        <v>3</v>
      </c>
      <c r="AN1198" t="n">
        <v>1</v>
      </c>
      <c r="AO1198" t="n">
        <v>1</v>
      </c>
      <c r="AP1198" t="n">
        <v>0</v>
      </c>
      <c r="AQ1198" t="n">
        <v>0</v>
      </c>
      <c r="AR1198" t="inlineStr">
        <is>
          <t>No</t>
        </is>
      </c>
      <c r="AS1198" t="inlineStr">
        <is>
          <t>Yes</t>
        </is>
      </c>
      <c r="AT1198">
        <f>HYPERLINK("http://catalog.hathitrust.org/Record/007926680","HathiTrust Record")</f>
        <v/>
      </c>
      <c r="AU1198">
        <f>HYPERLINK("https://creighton-primo.hosted.exlibrisgroup.com/primo-explore/search?tab=default_tab&amp;search_scope=EVERYTHING&amp;vid=01CRU&amp;lang=en_US&amp;offset=0&amp;query=any,contains,991003739969702656","Catalog Record")</f>
        <v/>
      </c>
      <c r="AV1198">
        <f>HYPERLINK("http://www.worldcat.org/oclc/1035835","WorldCat Record")</f>
        <v/>
      </c>
      <c r="AW1198" t="inlineStr">
        <is>
          <t>146591227:spa</t>
        </is>
      </c>
      <c r="AX1198" t="inlineStr">
        <is>
          <t>1035835</t>
        </is>
      </c>
      <c r="AY1198" t="inlineStr">
        <is>
          <t>991003739969702656</t>
        </is>
      </c>
      <c r="AZ1198" t="inlineStr">
        <is>
          <t>991003739969702656</t>
        </is>
      </c>
      <c r="BA1198" t="inlineStr">
        <is>
          <t>2262801600002656</t>
        </is>
      </c>
      <c r="BB1198" t="inlineStr">
        <is>
          <t>BOOK</t>
        </is>
      </c>
      <c r="BE1198" t="inlineStr">
        <is>
          <t>32285004454897</t>
        </is>
      </c>
      <c r="BF1198" t="inlineStr">
        <is>
          <t>893875099</t>
        </is>
      </c>
    </row>
    <row r="1199">
      <c r="A1199" t="inlineStr">
        <is>
          <t>No</t>
        </is>
      </c>
      <c r="B1199" t="inlineStr">
        <is>
          <t>CURAL</t>
        </is>
      </c>
      <c r="C1199" t="inlineStr">
        <is>
          <t>SHELVES</t>
        </is>
      </c>
      <c r="D1199" t="inlineStr">
        <is>
          <t>PQ8542 .O76 1984</t>
        </is>
      </c>
      <c r="E1199" t="inlineStr">
        <is>
          <t>0                      PQ 8542000O  76          1984</t>
        </is>
      </c>
      <c r="F1199" t="inlineStr">
        <is>
          <t>Para fijar un rostro : notas sobre la novelística venezolana actual / José Napoleón Oropeza.</t>
        </is>
      </c>
      <c r="H1199" t="inlineStr">
        <is>
          <t>No</t>
        </is>
      </c>
      <c r="I1199" t="inlineStr">
        <is>
          <t>1</t>
        </is>
      </c>
      <c r="J1199" t="inlineStr">
        <is>
          <t>No</t>
        </is>
      </c>
      <c r="K1199" t="inlineStr">
        <is>
          <t>No</t>
        </is>
      </c>
      <c r="L1199" t="inlineStr">
        <is>
          <t>0</t>
        </is>
      </c>
      <c r="M1199" t="inlineStr">
        <is>
          <t>Oropeza, José Napoleón.</t>
        </is>
      </c>
      <c r="N1199" t="inlineStr">
        <is>
          <t>Valencia, Venezuela : Vadell Hnos. Editores, 1984.</t>
        </is>
      </c>
      <c r="O1199" t="inlineStr">
        <is>
          <t>1984</t>
        </is>
      </c>
      <c r="P1199" t="inlineStr">
        <is>
          <t>1a ed.</t>
        </is>
      </c>
      <c r="Q1199" t="inlineStr">
        <is>
          <t>spa</t>
        </is>
      </c>
      <c r="R1199" t="inlineStr">
        <is>
          <t xml:space="preserve">ve </t>
        </is>
      </c>
      <c r="T1199" t="inlineStr">
        <is>
          <t xml:space="preserve">PQ </t>
        </is>
      </c>
      <c r="U1199" t="n">
        <v>1</v>
      </c>
      <c r="V1199" t="n">
        <v>1</v>
      </c>
      <c r="W1199" t="inlineStr">
        <is>
          <t>2002-06-13</t>
        </is>
      </c>
      <c r="X1199" t="inlineStr">
        <is>
          <t>2002-06-13</t>
        </is>
      </c>
      <c r="Y1199" t="inlineStr">
        <is>
          <t>2002-06-13</t>
        </is>
      </c>
      <c r="Z1199" t="inlineStr">
        <is>
          <t>2002-06-13</t>
        </is>
      </c>
      <c r="AA1199" t="n">
        <v>61</v>
      </c>
      <c r="AB1199" t="n">
        <v>46</v>
      </c>
      <c r="AC1199" t="n">
        <v>59</v>
      </c>
      <c r="AD1199" t="n">
        <v>1</v>
      </c>
      <c r="AE1199" t="n">
        <v>1</v>
      </c>
      <c r="AF1199" t="n">
        <v>3</v>
      </c>
      <c r="AG1199" t="n">
        <v>3</v>
      </c>
      <c r="AH1199" t="n">
        <v>0</v>
      </c>
      <c r="AI1199" t="n">
        <v>0</v>
      </c>
      <c r="AJ1199" t="n">
        <v>2</v>
      </c>
      <c r="AK1199" t="n">
        <v>2</v>
      </c>
      <c r="AL1199" t="n">
        <v>2</v>
      </c>
      <c r="AM1199" t="n">
        <v>2</v>
      </c>
      <c r="AN1199" t="n">
        <v>0</v>
      </c>
      <c r="AO1199" t="n">
        <v>0</v>
      </c>
      <c r="AP1199" t="n">
        <v>0</v>
      </c>
      <c r="AQ1199" t="n">
        <v>0</v>
      </c>
      <c r="AR1199" t="inlineStr">
        <is>
          <t>No</t>
        </is>
      </c>
      <c r="AS1199" t="inlineStr">
        <is>
          <t>Yes</t>
        </is>
      </c>
      <c r="AT1199">
        <f>HYPERLINK("http://catalog.hathitrust.org/Record/006716712","HathiTrust Record")</f>
        <v/>
      </c>
      <c r="AU1199">
        <f>HYPERLINK("https://creighton-primo.hosted.exlibrisgroup.com/primo-explore/search?tab=default_tab&amp;search_scope=EVERYTHING&amp;vid=01CRU&amp;lang=en_US&amp;offset=0&amp;query=any,contains,991003818009702656","Catalog Record")</f>
        <v/>
      </c>
      <c r="AV1199">
        <f>HYPERLINK("http://www.worldcat.org/oclc/12668265","WorldCat Record")</f>
        <v/>
      </c>
      <c r="AW1199" t="inlineStr">
        <is>
          <t>4757802:spa</t>
        </is>
      </c>
      <c r="AX1199" t="inlineStr">
        <is>
          <t>12668265</t>
        </is>
      </c>
      <c r="AY1199" t="inlineStr">
        <is>
          <t>991003818009702656</t>
        </is>
      </c>
      <c r="AZ1199" t="inlineStr">
        <is>
          <t>991003818009702656</t>
        </is>
      </c>
      <c r="BA1199" t="inlineStr">
        <is>
          <t>2266548550002656</t>
        </is>
      </c>
      <c r="BB1199" t="inlineStr">
        <is>
          <t>BOOK</t>
        </is>
      </c>
      <c r="BE1199" t="inlineStr">
        <is>
          <t>32285004494166</t>
        </is>
      </c>
      <c r="BF1199" t="inlineStr">
        <is>
          <t>893693180</t>
        </is>
      </c>
    </row>
    <row r="1200">
      <c r="A1200" t="inlineStr">
        <is>
          <t>No</t>
        </is>
      </c>
      <c r="B1200" t="inlineStr">
        <is>
          <t>CURAL</t>
        </is>
      </c>
      <c r="C1200" t="inlineStr">
        <is>
          <t>SHELVES</t>
        </is>
      </c>
      <c r="D1200" t="inlineStr">
        <is>
          <t>PQ8542 .R29 1979</t>
        </is>
      </c>
      <c r="E1200" t="inlineStr">
        <is>
          <t>0                      PQ 8542000R  29          1979</t>
        </is>
      </c>
      <c r="F1200" t="inlineStr">
        <is>
          <t>El cuento venezolano (1950-1970) : estudio temático y estilístico / Elías A. Ramos Q.</t>
        </is>
      </c>
      <c r="H1200" t="inlineStr">
        <is>
          <t>No</t>
        </is>
      </c>
      <c r="I1200" t="inlineStr">
        <is>
          <t>1</t>
        </is>
      </c>
      <c r="J1200" t="inlineStr">
        <is>
          <t>No</t>
        </is>
      </c>
      <c r="K1200" t="inlineStr">
        <is>
          <t>No</t>
        </is>
      </c>
      <c r="L1200" t="inlineStr">
        <is>
          <t>0</t>
        </is>
      </c>
      <c r="M1200" t="inlineStr">
        <is>
          <t>Ramos Q., Elías A.</t>
        </is>
      </c>
      <c r="N1200" t="inlineStr">
        <is>
          <t>Madrid : Playor, D.L. 1979.</t>
        </is>
      </c>
      <c r="O1200" t="inlineStr">
        <is>
          <t>1979</t>
        </is>
      </c>
      <c r="Q1200" t="inlineStr">
        <is>
          <t>spa</t>
        </is>
      </c>
      <c r="R1200" t="inlineStr">
        <is>
          <t xml:space="preserve">sp </t>
        </is>
      </c>
      <c r="S1200" t="inlineStr">
        <is>
          <t>Colección Nova scholar</t>
        </is>
      </c>
      <c r="T1200" t="inlineStr">
        <is>
          <t xml:space="preserve">PQ </t>
        </is>
      </c>
      <c r="U1200" t="n">
        <v>1</v>
      </c>
      <c r="V1200" t="n">
        <v>1</v>
      </c>
      <c r="W1200" t="inlineStr">
        <is>
          <t>2001-10-23</t>
        </is>
      </c>
      <c r="X1200" t="inlineStr">
        <is>
          <t>2001-10-23</t>
        </is>
      </c>
      <c r="Y1200" t="inlineStr">
        <is>
          <t>2001-10-23</t>
        </is>
      </c>
      <c r="Z1200" t="inlineStr">
        <is>
          <t>2001-10-23</t>
        </is>
      </c>
      <c r="AA1200" t="n">
        <v>153</v>
      </c>
      <c r="AB1200" t="n">
        <v>120</v>
      </c>
      <c r="AC1200" t="n">
        <v>122</v>
      </c>
      <c r="AD1200" t="n">
        <v>2</v>
      </c>
      <c r="AE1200" t="n">
        <v>2</v>
      </c>
      <c r="AF1200" t="n">
        <v>7</v>
      </c>
      <c r="AG1200" t="n">
        <v>7</v>
      </c>
      <c r="AH1200" t="n">
        <v>3</v>
      </c>
      <c r="AI1200" t="n">
        <v>3</v>
      </c>
      <c r="AJ1200" t="n">
        <v>3</v>
      </c>
      <c r="AK1200" t="n">
        <v>3</v>
      </c>
      <c r="AL1200" t="n">
        <v>3</v>
      </c>
      <c r="AM1200" t="n">
        <v>3</v>
      </c>
      <c r="AN1200" t="n">
        <v>1</v>
      </c>
      <c r="AO1200" t="n">
        <v>1</v>
      </c>
      <c r="AP1200" t="n">
        <v>0</v>
      </c>
      <c r="AQ1200" t="n">
        <v>0</v>
      </c>
      <c r="AR1200" t="inlineStr">
        <is>
          <t>No</t>
        </is>
      </c>
      <c r="AS1200" t="inlineStr">
        <is>
          <t>Yes</t>
        </is>
      </c>
      <c r="AT1200">
        <f>HYPERLINK("http://catalog.hathitrust.org/Record/000225803","HathiTrust Record")</f>
        <v/>
      </c>
      <c r="AU1200">
        <f>HYPERLINK("https://creighton-primo.hosted.exlibrisgroup.com/primo-explore/search?tab=default_tab&amp;search_scope=EVERYTHING&amp;vid=01CRU&amp;lang=en_US&amp;offset=0&amp;query=any,contains,991003659029702656","Catalog Record")</f>
        <v/>
      </c>
      <c r="AV1200">
        <f>HYPERLINK("http://www.worldcat.org/oclc/6709596","WorldCat Record")</f>
        <v/>
      </c>
      <c r="AW1200" t="inlineStr">
        <is>
          <t>3856923069:spa</t>
        </is>
      </c>
      <c r="AX1200" t="inlineStr">
        <is>
          <t>6709596</t>
        </is>
      </c>
      <c r="AY1200" t="inlineStr">
        <is>
          <t>991003659029702656</t>
        </is>
      </c>
      <c r="AZ1200" t="inlineStr">
        <is>
          <t>991003659029702656</t>
        </is>
      </c>
      <c r="BA1200" t="inlineStr">
        <is>
          <t>2256614440002656</t>
        </is>
      </c>
      <c r="BB1200" t="inlineStr">
        <is>
          <t>BOOK</t>
        </is>
      </c>
      <c r="BD1200" t="inlineStr">
        <is>
          <t>9788435902113</t>
        </is>
      </c>
      <c r="BE1200" t="inlineStr">
        <is>
          <t>32285004399936</t>
        </is>
      </c>
      <c r="BF1200" t="inlineStr">
        <is>
          <t>893717943</t>
        </is>
      </c>
    </row>
    <row r="1201">
      <c r="A1201" t="inlineStr">
        <is>
          <t>No</t>
        </is>
      </c>
      <c r="B1201" t="inlineStr">
        <is>
          <t>CURAL</t>
        </is>
      </c>
      <c r="C1201" t="inlineStr">
        <is>
          <t>SHELVES</t>
        </is>
      </c>
      <c r="D1201" t="inlineStr">
        <is>
          <t>PQ8542 .R38 1966</t>
        </is>
      </c>
      <c r="E1201" t="inlineStr">
        <is>
          <t>0                      PQ 8542000R  38          1966</t>
        </is>
      </c>
      <c r="F1201" t="inlineStr">
        <is>
          <t>La prosa de ficcion en Venezuela / Traducción: Rafael di Prisco.</t>
        </is>
      </c>
      <c r="H1201" t="inlineStr">
        <is>
          <t>No</t>
        </is>
      </c>
      <c r="I1201" t="inlineStr">
        <is>
          <t>1</t>
        </is>
      </c>
      <c r="J1201" t="inlineStr">
        <is>
          <t>No</t>
        </is>
      </c>
      <c r="K1201" t="inlineStr">
        <is>
          <t>No</t>
        </is>
      </c>
      <c r="L1201" t="inlineStr">
        <is>
          <t>0</t>
        </is>
      </c>
      <c r="M1201" t="inlineStr">
        <is>
          <t>Ratcliff, Dillwyn F. (Dillwyn Fritschel), 1898-</t>
        </is>
      </c>
      <c r="N1201" t="inlineStr">
        <is>
          <t>Caracas : Universidad Central de Venezuela, 1966.</t>
        </is>
      </c>
      <c r="O1201" t="inlineStr">
        <is>
          <t>1966</t>
        </is>
      </c>
      <c r="Q1201" t="inlineStr">
        <is>
          <t>spa</t>
        </is>
      </c>
      <c r="R1201" t="inlineStr">
        <is>
          <t xml:space="preserve">ve </t>
        </is>
      </c>
      <c r="S1201" t="inlineStr">
        <is>
          <t>Colección Avance</t>
        </is>
      </c>
      <c r="T1201" t="inlineStr">
        <is>
          <t xml:space="preserve">PQ </t>
        </is>
      </c>
      <c r="U1201" t="n">
        <v>1</v>
      </c>
      <c r="V1201" t="n">
        <v>1</v>
      </c>
      <c r="W1201" t="inlineStr">
        <is>
          <t>2002-06-20</t>
        </is>
      </c>
      <c r="X1201" t="inlineStr">
        <is>
          <t>2002-06-20</t>
        </is>
      </c>
      <c r="Y1201" t="inlineStr">
        <is>
          <t>2002-06-20</t>
        </is>
      </c>
      <c r="Z1201" t="inlineStr">
        <is>
          <t>2002-06-20</t>
        </is>
      </c>
      <c r="AA1201" t="n">
        <v>66</v>
      </c>
      <c r="AB1201" t="n">
        <v>40</v>
      </c>
      <c r="AC1201" t="n">
        <v>46</v>
      </c>
      <c r="AD1201" t="n">
        <v>1</v>
      </c>
      <c r="AE1201" t="n">
        <v>1</v>
      </c>
      <c r="AF1201" t="n">
        <v>2</v>
      </c>
      <c r="AG1201" t="n">
        <v>2</v>
      </c>
      <c r="AH1201" t="n">
        <v>1</v>
      </c>
      <c r="AI1201" t="n">
        <v>1</v>
      </c>
      <c r="AJ1201" t="n">
        <v>1</v>
      </c>
      <c r="AK1201" t="n">
        <v>1</v>
      </c>
      <c r="AL1201" t="n">
        <v>2</v>
      </c>
      <c r="AM1201" t="n">
        <v>2</v>
      </c>
      <c r="AN1201" t="n">
        <v>0</v>
      </c>
      <c r="AO1201" t="n">
        <v>0</v>
      </c>
      <c r="AP1201" t="n">
        <v>0</v>
      </c>
      <c r="AQ1201" t="n">
        <v>0</v>
      </c>
      <c r="AR1201" t="inlineStr">
        <is>
          <t>No</t>
        </is>
      </c>
      <c r="AS1201" t="inlineStr">
        <is>
          <t>Yes</t>
        </is>
      </c>
      <c r="AT1201">
        <f>HYPERLINK("http://catalog.hathitrust.org/Record/001519427","HathiTrust Record")</f>
        <v/>
      </c>
      <c r="AU1201">
        <f>HYPERLINK("https://creighton-primo.hosted.exlibrisgroup.com/primo-explore/search?tab=default_tab&amp;search_scope=EVERYTHING&amp;vid=01CRU&amp;lang=en_US&amp;offset=0&amp;query=any,contains,991003830089702656","Catalog Record")</f>
        <v/>
      </c>
      <c r="AV1201">
        <f>HYPERLINK("http://www.worldcat.org/oclc/2344931","WorldCat Record")</f>
        <v/>
      </c>
      <c r="AW1201" t="inlineStr">
        <is>
          <t>9349250769:spa</t>
        </is>
      </c>
      <c r="AX1201" t="inlineStr">
        <is>
          <t>2344931</t>
        </is>
      </c>
      <c r="AY1201" t="inlineStr">
        <is>
          <t>991003830089702656</t>
        </is>
      </c>
      <c r="AZ1201" t="inlineStr">
        <is>
          <t>991003830089702656</t>
        </is>
      </c>
      <c r="BA1201" t="inlineStr">
        <is>
          <t>2262301200002656</t>
        </is>
      </c>
      <c r="BB1201" t="inlineStr">
        <is>
          <t>BOOK</t>
        </is>
      </c>
      <c r="BE1201" t="inlineStr">
        <is>
          <t>32285004495353</t>
        </is>
      </c>
      <c r="BF1201" t="inlineStr">
        <is>
          <t>893605262</t>
        </is>
      </c>
    </row>
    <row r="1202">
      <c r="A1202" t="inlineStr">
        <is>
          <t>No</t>
        </is>
      </c>
      <c r="B1202" t="inlineStr">
        <is>
          <t>CURAL</t>
        </is>
      </c>
      <c r="C1202" t="inlineStr">
        <is>
          <t>SHELVES</t>
        </is>
      </c>
      <c r="D1202" t="inlineStr">
        <is>
          <t>PQ8542 .S17 1992</t>
        </is>
      </c>
      <c r="E1202" t="inlineStr">
        <is>
          <t>0                      PQ 8542000S  17          1992</t>
        </is>
      </c>
      <c r="F1202" t="inlineStr">
        <is>
          <t>Ideología y lenguaje en la narrativa de la modernidad / Yolanda Salas de Lecuna.</t>
        </is>
      </c>
      <c r="H1202" t="inlineStr">
        <is>
          <t>No</t>
        </is>
      </c>
      <c r="I1202" t="inlineStr">
        <is>
          <t>1</t>
        </is>
      </c>
      <c r="J1202" t="inlineStr">
        <is>
          <t>No</t>
        </is>
      </c>
      <c r="K1202" t="inlineStr">
        <is>
          <t>No</t>
        </is>
      </c>
      <c r="L1202" t="inlineStr">
        <is>
          <t>0</t>
        </is>
      </c>
      <c r="M1202" t="inlineStr">
        <is>
          <t>Salas de Lecuna, Yolanda.</t>
        </is>
      </c>
      <c r="N1202" t="inlineStr">
        <is>
          <t>[Caracas, Venezuela] : Monte Avila Editores : Centro de Estudios Latinoamericanos Rómulo Gallegos, 1992.</t>
        </is>
      </c>
      <c r="O1202" t="inlineStr">
        <is>
          <t>1992</t>
        </is>
      </c>
      <c r="P1202" t="inlineStr">
        <is>
          <t>1a ed.</t>
        </is>
      </c>
      <c r="Q1202" t="inlineStr">
        <is>
          <t>spa</t>
        </is>
      </c>
      <c r="R1202" t="inlineStr">
        <is>
          <t xml:space="preserve">ve </t>
        </is>
      </c>
      <c r="S1202" t="inlineStr">
        <is>
          <t>Estudios</t>
        </is>
      </c>
      <c r="T1202" t="inlineStr">
        <is>
          <t xml:space="preserve">PQ </t>
        </is>
      </c>
      <c r="U1202" t="n">
        <v>1</v>
      </c>
      <c r="V1202" t="n">
        <v>1</v>
      </c>
      <c r="W1202" t="inlineStr">
        <is>
          <t>2002-05-16</t>
        </is>
      </c>
      <c r="X1202" t="inlineStr">
        <is>
          <t>2002-05-16</t>
        </is>
      </c>
      <c r="Y1202" t="inlineStr">
        <is>
          <t>2002-05-08</t>
        </is>
      </c>
      <c r="Z1202" t="inlineStr">
        <is>
          <t>2002-05-08</t>
        </is>
      </c>
      <c r="AA1202" t="n">
        <v>40</v>
      </c>
      <c r="AB1202" t="n">
        <v>32</v>
      </c>
      <c r="AC1202" t="n">
        <v>32</v>
      </c>
      <c r="AD1202" t="n">
        <v>1</v>
      </c>
      <c r="AE1202" t="n">
        <v>1</v>
      </c>
      <c r="AF1202" t="n">
        <v>1</v>
      </c>
      <c r="AG1202" t="n">
        <v>1</v>
      </c>
      <c r="AH1202" t="n">
        <v>0</v>
      </c>
      <c r="AI1202" t="n">
        <v>0</v>
      </c>
      <c r="AJ1202" t="n">
        <v>0</v>
      </c>
      <c r="AK1202" t="n">
        <v>0</v>
      </c>
      <c r="AL1202" t="n">
        <v>1</v>
      </c>
      <c r="AM1202" t="n">
        <v>1</v>
      </c>
      <c r="AN1202" t="n">
        <v>0</v>
      </c>
      <c r="AO1202" t="n">
        <v>0</v>
      </c>
      <c r="AP1202" t="n">
        <v>0</v>
      </c>
      <c r="AQ1202" t="n">
        <v>0</v>
      </c>
      <c r="AR1202" t="inlineStr">
        <is>
          <t>No</t>
        </is>
      </c>
      <c r="AS1202" t="inlineStr">
        <is>
          <t>No</t>
        </is>
      </c>
      <c r="AU1202">
        <f>HYPERLINK("https://creighton-primo.hosted.exlibrisgroup.com/primo-explore/search?tab=default_tab&amp;search_scope=EVERYTHING&amp;vid=01CRU&amp;lang=en_US&amp;offset=0&amp;query=any,contains,991003806609702656","Catalog Record")</f>
        <v/>
      </c>
      <c r="AV1202">
        <f>HYPERLINK("http://www.worldcat.org/oclc/28309848","WorldCat Record")</f>
        <v/>
      </c>
      <c r="AW1202" t="inlineStr">
        <is>
          <t>30415712:spa</t>
        </is>
      </c>
      <c r="AX1202" t="inlineStr">
        <is>
          <t>28309848</t>
        </is>
      </c>
      <c r="AY1202" t="inlineStr">
        <is>
          <t>991003806609702656</t>
        </is>
      </c>
      <c r="AZ1202" t="inlineStr">
        <is>
          <t>991003806609702656</t>
        </is>
      </c>
      <c r="BA1202" t="inlineStr">
        <is>
          <t>2271863200002656</t>
        </is>
      </c>
      <c r="BB1202" t="inlineStr">
        <is>
          <t>BOOK</t>
        </is>
      </c>
      <c r="BD1202" t="inlineStr">
        <is>
          <t>9789800105986</t>
        </is>
      </c>
      <c r="BE1202" t="inlineStr">
        <is>
          <t>32285004486907</t>
        </is>
      </c>
      <c r="BF1202" t="inlineStr">
        <is>
          <t>893324505</t>
        </is>
      </c>
    </row>
    <row r="1203">
      <c r="A1203" t="inlineStr">
        <is>
          <t>No</t>
        </is>
      </c>
      <c r="B1203" t="inlineStr">
        <is>
          <t>CURAL</t>
        </is>
      </c>
      <c r="C1203" t="inlineStr">
        <is>
          <t>SHELVES</t>
        </is>
      </c>
      <c r="D1203" t="inlineStr">
        <is>
          <t>PQ8542 .T45 1992</t>
        </is>
      </c>
      <c r="E1203" t="inlineStr">
        <is>
          <t>0                      PQ 8542000T  45          1992</t>
        </is>
      </c>
      <c r="F1203" t="inlineStr">
        <is>
          <t>Teoraia y praxis del cuento en Venezuela / Pilar Almoina de Carrera ... [et al.].</t>
        </is>
      </c>
      <c r="H1203" t="inlineStr">
        <is>
          <t>No</t>
        </is>
      </c>
      <c r="I1203" t="inlineStr">
        <is>
          <t>1</t>
        </is>
      </c>
      <c r="J1203" t="inlineStr">
        <is>
          <t>No</t>
        </is>
      </c>
      <c r="K1203" t="inlineStr">
        <is>
          <t>No</t>
        </is>
      </c>
      <c r="L1203" t="inlineStr">
        <is>
          <t>0</t>
        </is>
      </c>
      <c r="N1203" t="inlineStr">
        <is>
          <t>Caracas, Venezuela : Monte Avila Editores, 1992.</t>
        </is>
      </c>
      <c r="O1203" t="inlineStr">
        <is>
          <t>1992</t>
        </is>
      </c>
      <c r="P1203" t="inlineStr">
        <is>
          <t>1a. ed.</t>
        </is>
      </c>
      <c r="Q1203" t="inlineStr">
        <is>
          <t>spa</t>
        </is>
      </c>
      <c r="R1203" t="inlineStr">
        <is>
          <t xml:space="preserve">ve </t>
        </is>
      </c>
      <c r="S1203" t="inlineStr">
        <is>
          <t>Estudios</t>
        </is>
      </c>
      <c r="T1203" t="inlineStr">
        <is>
          <t xml:space="preserve">PQ </t>
        </is>
      </c>
      <c r="U1203" t="n">
        <v>1</v>
      </c>
      <c r="V1203" t="n">
        <v>1</v>
      </c>
      <c r="W1203" t="inlineStr">
        <is>
          <t>2004-08-03</t>
        </is>
      </c>
      <c r="X1203" t="inlineStr">
        <is>
          <t>2004-08-03</t>
        </is>
      </c>
      <c r="Y1203" t="inlineStr">
        <is>
          <t>2004-08-03</t>
        </is>
      </c>
      <c r="Z1203" t="inlineStr">
        <is>
          <t>2004-08-03</t>
        </is>
      </c>
      <c r="AA1203" t="n">
        <v>63</v>
      </c>
      <c r="AB1203" t="n">
        <v>51</v>
      </c>
      <c r="AC1203" t="n">
        <v>51</v>
      </c>
      <c r="AD1203" t="n">
        <v>1</v>
      </c>
      <c r="AE1203" t="n">
        <v>1</v>
      </c>
      <c r="AF1203" t="n">
        <v>4</v>
      </c>
      <c r="AG1203" t="n">
        <v>4</v>
      </c>
      <c r="AH1203" t="n">
        <v>2</v>
      </c>
      <c r="AI1203" t="n">
        <v>2</v>
      </c>
      <c r="AJ1203" t="n">
        <v>2</v>
      </c>
      <c r="AK1203" t="n">
        <v>2</v>
      </c>
      <c r="AL1203" t="n">
        <v>2</v>
      </c>
      <c r="AM1203" t="n">
        <v>2</v>
      </c>
      <c r="AN1203" t="n">
        <v>0</v>
      </c>
      <c r="AO1203" t="n">
        <v>0</v>
      </c>
      <c r="AP1203" t="n">
        <v>0</v>
      </c>
      <c r="AQ1203" t="n">
        <v>0</v>
      </c>
      <c r="AR1203" t="inlineStr">
        <is>
          <t>No</t>
        </is>
      </c>
      <c r="AS1203" t="inlineStr">
        <is>
          <t>No</t>
        </is>
      </c>
      <c r="AU1203">
        <f>HYPERLINK("https://creighton-primo.hosted.exlibrisgroup.com/primo-explore/search?tab=default_tab&amp;search_scope=EVERYTHING&amp;vid=01CRU&amp;lang=en_US&amp;offset=0&amp;query=any,contains,991004335229702656","Catalog Record")</f>
        <v/>
      </c>
      <c r="AV1203">
        <f>HYPERLINK("http://www.worldcat.org/oclc/26921947","WorldCat Record")</f>
        <v/>
      </c>
      <c r="AW1203" t="inlineStr">
        <is>
          <t>434704653:spa</t>
        </is>
      </c>
      <c r="AX1203" t="inlineStr">
        <is>
          <t>26921947</t>
        </is>
      </c>
      <c r="AY1203" t="inlineStr">
        <is>
          <t>991004335229702656</t>
        </is>
      </c>
      <c r="AZ1203" t="inlineStr">
        <is>
          <t>991004335229702656</t>
        </is>
      </c>
      <c r="BA1203" t="inlineStr">
        <is>
          <t>2261671220002656</t>
        </is>
      </c>
      <c r="BB1203" t="inlineStr">
        <is>
          <t>BOOK</t>
        </is>
      </c>
      <c r="BD1203" t="inlineStr">
        <is>
          <t>9789800105498</t>
        </is>
      </c>
      <c r="BE1203" t="inlineStr">
        <is>
          <t>32285004927736</t>
        </is>
      </c>
      <c r="BF1203" t="inlineStr">
        <is>
          <t>893532280</t>
        </is>
      </c>
    </row>
    <row r="1204">
      <c r="A1204" t="inlineStr">
        <is>
          <t>No</t>
        </is>
      </c>
      <c r="B1204" t="inlineStr">
        <is>
          <t>CURAL</t>
        </is>
      </c>
      <c r="C1204" t="inlineStr">
        <is>
          <t>SHELVES</t>
        </is>
      </c>
      <c r="D1204" t="inlineStr">
        <is>
          <t>PQ8543 .P5 1965</t>
        </is>
      </c>
      <c r="E1204" t="inlineStr">
        <is>
          <t>0                      PQ 8543000P  5           1965</t>
        </is>
      </c>
      <c r="F1204" t="inlineStr">
        <is>
          <t>Dos siglos de prosa venezolana / selecciaon de Mariano Picaon-Salas.</t>
        </is>
      </c>
      <c r="H1204" t="inlineStr">
        <is>
          <t>No</t>
        </is>
      </c>
      <c r="I1204" t="inlineStr">
        <is>
          <t>1</t>
        </is>
      </c>
      <c r="J1204" t="inlineStr">
        <is>
          <t>No</t>
        </is>
      </c>
      <c r="K1204" t="inlineStr">
        <is>
          <t>No</t>
        </is>
      </c>
      <c r="L1204" t="inlineStr">
        <is>
          <t>0</t>
        </is>
      </c>
      <c r="M1204" t="inlineStr">
        <is>
          <t>Picón-Salas, Mariano, 1901-1965, editor.</t>
        </is>
      </c>
      <c r="N1204" t="inlineStr">
        <is>
          <t>Madrid : Ediciones Edime, 1965.</t>
        </is>
      </c>
      <c r="O1204" t="inlineStr">
        <is>
          <t>1965</t>
        </is>
      </c>
      <c r="Q1204" t="inlineStr">
        <is>
          <t>spa</t>
        </is>
      </c>
      <c r="R1204" t="inlineStr">
        <is>
          <t xml:space="preserve">sp </t>
        </is>
      </c>
      <c r="S1204" t="inlineStr">
        <is>
          <t>Claasicos y modernos hispanoamericanos</t>
        </is>
      </c>
      <c r="T1204" t="inlineStr">
        <is>
          <t xml:space="preserve">PQ </t>
        </is>
      </c>
      <c r="U1204" t="n">
        <v>1</v>
      </c>
      <c r="V1204" t="n">
        <v>1</v>
      </c>
      <c r="W1204" t="inlineStr">
        <is>
          <t>2004-08-05</t>
        </is>
      </c>
      <c r="X1204" t="inlineStr">
        <is>
          <t>2004-08-05</t>
        </is>
      </c>
      <c r="Y1204" t="inlineStr">
        <is>
          <t>2004-08-05</t>
        </is>
      </c>
      <c r="Z1204" t="inlineStr">
        <is>
          <t>2004-08-05</t>
        </is>
      </c>
      <c r="AA1204" t="n">
        <v>93</v>
      </c>
      <c r="AB1204" t="n">
        <v>83</v>
      </c>
      <c r="AC1204" t="n">
        <v>86</v>
      </c>
      <c r="AD1204" t="n">
        <v>3</v>
      </c>
      <c r="AE1204" t="n">
        <v>3</v>
      </c>
      <c r="AF1204" t="n">
        <v>5</v>
      </c>
      <c r="AG1204" t="n">
        <v>5</v>
      </c>
      <c r="AH1204" t="n">
        <v>1</v>
      </c>
      <c r="AI1204" t="n">
        <v>1</v>
      </c>
      <c r="AJ1204" t="n">
        <v>1</v>
      </c>
      <c r="AK1204" t="n">
        <v>1</v>
      </c>
      <c r="AL1204" t="n">
        <v>3</v>
      </c>
      <c r="AM1204" t="n">
        <v>3</v>
      </c>
      <c r="AN1204" t="n">
        <v>2</v>
      </c>
      <c r="AO1204" t="n">
        <v>2</v>
      </c>
      <c r="AP1204" t="n">
        <v>0</v>
      </c>
      <c r="AQ1204" t="n">
        <v>0</v>
      </c>
      <c r="AR1204" t="inlineStr">
        <is>
          <t>No</t>
        </is>
      </c>
      <c r="AS1204" t="inlineStr">
        <is>
          <t>Yes</t>
        </is>
      </c>
      <c r="AT1204">
        <f>HYPERLINK("http://catalog.hathitrust.org/Record/001589585","HathiTrust Record")</f>
        <v/>
      </c>
      <c r="AU1204">
        <f>HYPERLINK("https://creighton-primo.hosted.exlibrisgroup.com/primo-explore/search?tab=default_tab&amp;search_scope=EVERYTHING&amp;vid=01CRU&amp;lang=en_US&amp;offset=0&amp;query=any,contains,991004339929702656","Catalog Record")</f>
        <v/>
      </c>
      <c r="AV1204">
        <f>HYPERLINK("http://www.worldcat.org/oclc/3911534","WorldCat Record")</f>
        <v/>
      </c>
      <c r="AW1204" t="inlineStr">
        <is>
          <t>13125443:spa</t>
        </is>
      </c>
      <c r="AX1204" t="inlineStr">
        <is>
          <t>3911534</t>
        </is>
      </c>
      <c r="AY1204" t="inlineStr">
        <is>
          <t>991004339929702656</t>
        </is>
      </c>
      <c r="AZ1204" t="inlineStr">
        <is>
          <t>991004339929702656</t>
        </is>
      </c>
      <c r="BA1204" t="inlineStr">
        <is>
          <t>2259889810002656</t>
        </is>
      </c>
      <c r="BB1204" t="inlineStr">
        <is>
          <t>BOOK</t>
        </is>
      </c>
      <c r="BE1204" t="inlineStr">
        <is>
          <t>32285004929575</t>
        </is>
      </c>
      <c r="BF1204" t="inlineStr">
        <is>
          <t>893259611</t>
        </is>
      </c>
    </row>
    <row r="1205">
      <c r="A1205" t="inlineStr">
        <is>
          <t>No</t>
        </is>
      </c>
      <c r="B1205" t="inlineStr">
        <is>
          <t>CURAL</t>
        </is>
      </c>
      <c r="C1205" t="inlineStr">
        <is>
          <t>SHELVES</t>
        </is>
      </c>
      <c r="D1205" t="inlineStr">
        <is>
          <t>PQ8543 .R6 1975</t>
        </is>
      </c>
      <c r="E1205" t="inlineStr">
        <is>
          <t>0                      PQ 8543000R  6           1975</t>
        </is>
      </c>
      <c r="F1205" t="inlineStr">
        <is>
          <t>Biblioteca de escritores venezolanos contemporáneos : ordenada con noticias biográficas / por José M. Rójas.</t>
        </is>
      </c>
      <c r="H1205" t="inlineStr">
        <is>
          <t>No</t>
        </is>
      </c>
      <c r="I1205" t="inlineStr">
        <is>
          <t>1</t>
        </is>
      </c>
      <c r="J1205" t="inlineStr">
        <is>
          <t>No</t>
        </is>
      </c>
      <c r="K1205" t="inlineStr">
        <is>
          <t>No</t>
        </is>
      </c>
      <c r="L1205" t="inlineStr">
        <is>
          <t>0</t>
        </is>
      </c>
      <c r="M1205" t="inlineStr">
        <is>
          <t>Rojas, José María, 1828-1907.</t>
        </is>
      </c>
      <c r="N1205" t="inlineStr">
        <is>
          <t>Caracas : Concejo Municipal del Distrito Federal, 1975.</t>
        </is>
      </c>
      <c r="O1205" t="inlineStr">
        <is>
          <t>1975</t>
        </is>
      </c>
      <c r="Q1205" t="inlineStr">
        <is>
          <t>spa</t>
        </is>
      </c>
      <c r="R1205" t="inlineStr">
        <is>
          <t xml:space="preserve">ve </t>
        </is>
      </c>
      <c r="T1205" t="inlineStr">
        <is>
          <t xml:space="preserve">PQ </t>
        </is>
      </c>
      <c r="U1205" t="n">
        <v>1</v>
      </c>
      <c r="V1205" t="n">
        <v>1</v>
      </c>
      <c r="W1205" t="inlineStr">
        <is>
          <t>2001-12-12</t>
        </is>
      </c>
      <c r="X1205" t="inlineStr">
        <is>
          <t>2001-12-12</t>
        </is>
      </c>
      <c r="Y1205" t="inlineStr">
        <is>
          <t>2001-12-11</t>
        </is>
      </c>
      <c r="Z1205" t="inlineStr">
        <is>
          <t>2001-12-11</t>
        </is>
      </c>
      <c r="AA1205" t="n">
        <v>7</v>
      </c>
      <c r="AB1205" t="n">
        <v>7</v>
      </c>
      <c r="AC1205" t="n">
        <v>120</v>
      </c>
      <c r="AD1205" t="n">
        <v>1</v>
      </c>
      <c r="AE1205" t="n">
        <v>2</v>
      </c>
      <c r="AF1205" t="n">
        <v>0</v>
      </c>
      <c r="AG1205" t="n">
        <v>7</v>
      </c>
      <c r="AH1205" t="n">
        <v>0</v>
      </c>
      <c r="AI1205" t="n">
        <v>0</v>
      </c>
      <c r="AJ1205" t="n">
        <v>0</v>
      </c>
      <c r="AK1205" t="n">
        <v>3</v>
      </c>
      <c r="AL1205" t="n">
        <v>0</v>
      </c>
      <c r="AM1205" t="n">
        <v>4</v>
      </c>
      <c r="AN1205" t="n">
        <v>0</v>
      </c>
      <c r="AO1205" t="n">
        <v>1</v>
      </c>
      <c r="AP1205" t="n">
        <v>0</v>
      </c>
      <c r="AQ1205" t="n">
        <v>0</v>
      </c>
      <c r="AR1205" t="inlineStr">
        <is>
          <t>No</t>
        </is>
      </c>
      <c r="AS1205" t="inlineStr">
        <is>
          <t>Yes</t>
        </is>
      </c>
      <c r="AT1205">
        <f>HYPERLINK("http://catalog.hathitrust.org/Record/100587512","HathiTrust Record")</f>
        <v/>
      </c>
      <c r="AU1205">
        <f>HYPERLINK("https://creighton-primo.hosted.exlibrisgroup.com/primo-explore/search?tab=default_tab&amp;search_scope=EVERYTHING&amp;vid=01CRU&amp;lang=en_US&amp;offset=0&amp;query=any,contains,991003694669702656","Catalog Record")</f>
        <v/>
      </c>
      <c r="AV1205">
        <f>HYPERLINK("http://www.worldcat.org/oclc/2669379","WorldCat Record")</f>
        <v/>
      </c>
      <c r="AW1205" t="inlineStr">
        <is>
          <t>1458450:spa</t>
        </is>
      </c>
      <c r="AX1205" t="inlineStr">
        <is>
          <t>2669379</t>
        </is>
      </c>
      <c r="AY1205" t="inlineStr">
        <is>
          <t>991003694669702656</t>
        </is>
      </c>
      <c r="AZ1205" t="inlineStr">
        <is>
          <t>991003694669702656</t>
        </is>
      </c>
      <c r="BA1205" t="inlineStr">
        <is>
          <t>2258180530002656</t>
        </is>
      </c>
      <c r="BB1205" t="inlineStr">
        <is>
          <t>BOOK</t>
        </is>
      </c>
      <c r="BE1205" t="inlineStr">
        <is>
          <t>32285004427489</t>
        </is>
      </c>
      <c r="BF1205" t="inlineStr">
        <is>
          <t>893717983</t>
        </is>
      </c>
    </row>
    <row r="1206">
      <c r="A1206" t="inlineStr">
        <is>
          <t>No</t>
        </is>
      </c>
      <c r="B1206" t="inlineStr">
        <is>
          <t>CURAL</t>
        </is>
      </c>
      <c r="C1206" t="inlineStr">
        <is>
          <t>SHELVES</t>
        </is>
      </c>
      <c r="D1206" t="inlineStr">
        <is>
          <t>PQ8544 .B3 1976</t>
        </is>
      </c>
      <c r="E1206" t="inlineStr">
        <is>
          <t>0                      PQ 8544000B  3           1976</t>
        </is>
      </c>
      <c r="F1206" t="inlineStr">
        <is>
          <t>Las cien mejores poesaias lairicas venezolanas / selecciaon y praologo de Pedro P. Barnola.</t>
        </is>
      </c>
      <c r="H1206" t="inlineStr">
        <is>
          <t>No</t>
        </is>
      </c>
      <c r="I1206" t="inlineStr">
        <is>
          <t>1</t>
        </is>
      </c>
      <c r="J1206" t="inlineStr">
        <is>
          <t>No</t>
        </is>
      </c>
      <c r="K1206" t="inlineStr">
        <is>
          <t>No</t>
        </is>
      </c>
      <c r="L1206" t="inlineStr">
        <is>
          <t>0</t>
        </is>
      </c>
      <c r="M1206" t="inlineStr">
        <is>
          <t>Barnola, Pedro Pablo.</t>
        </is>
      </c>
      <c r="N1206" t="inlineStr">
        <is>
          <t>Barcelona, Espaana : Publicaciones Reunidas ; Caracas : distribuidores exclusivos, Distribuidora Estudios, [1976]</t>
        </is>
      </c>
      <c r="O1206" t="inlineStr">
        <is>
          <t>1976</t>
        </is>
      </c>
      <c r="P1206" t="inlineStr">
        <is>
          <t>5. ed.</t>
        </is>
      </c>
      <c r="Q1206" t="inlineStr">
        <is>
          <t>spa</t>
        </is>
      </c>
      <c r="R1206" t="inlineStr">
        <is>
          <t xml:space="preserve">sp </t>
        </is>
      </c>
      <c r="T1206" t="inlineStr">
        <is>
          <t xml:space="preserve">PQ </t>
        </is>
      </c>
      <c r="U1206" t="n">
        <v>1</v>
      </c>
      <c r="V1206" t="n">
        <v>1</v>
      </c>
      <c r="W1206" t="inlineStr">
        <is>
          <t>2004-08-04</t>
        </is>
      </c>
      <c r="X1206" t="inlineStr">
        <is>
          <t>2004-08-04</t>
        </is>
      </c>
      <c r="Y1206" t="inlineStr">
        <is>
          <t>2004-08-04</t>
        </is>
      </c>
      <c r="Z1206" t="inlineStr">
        <is>
          <t>2004-08-04</t>
        </is>
      </c>
      <c r="AA1206" t="n">
        <v>4</v>
      </c>
      <c r="AB1206" t="n">
        <v>4</v>
      </c>
      <c r="AC1206" t="n">
        <v>41</v>
      </c>
      <c r="AD1206" t="n">
        <v>1</v>
      </c>
      <c r="AE1206" t="n">
        <v>2</v>
      </c>
      <c r="AF1206" t="n">
        <v>0</v>
      </c>
      <c r="AG1206" t="n">
        <v>3</v>
      </c>
      <c r="AH1206" t="n">
        <v>0</v>
      </c>
      <c r="AI1206" t="n">
        <v>1</v>
      </c>
      <c r="AJ1206" t="n">
        <v>0</v>
      </c>
      <c r="AK1206" t="n">
        <v>0</v>
      </c>
      <c r="AL1206" t="n">
        <v>0</v>
      </c>
      <c r="AM1206" t="n">
        <v>2</v>
      </c>
      <c r="AN1206" t="n">
        <v>0</v>
      </c>
      <c r="AO1206" t="n">
        <v>1</v>
      </c>
      <c r="AP1206" t="n">
        <v>0</v>
      </c>
      <c r="AQ1206" t="n">
        <v>0</v>
      </c>
      <c r="AR1206" t="inlineStr">
        <is>
          <t>No</t>
        </is>
      </c>
      <c r="AS1206" t="inlineStr">
        <is>
          <t>Yes</t>
        </is>
      </c>
      <c r="AT1206">
        <f>HYPERLINK("http://catalog.hathitrust.org/Record/007393958","HathiTrust Record")</f>
        <v/>
      </c>
      <c r="AU1206">
        <f>HYPERLINK("https://creighton-primo.hosted.exlibrisgroup.com/primo-explore/search?tab=default_tab&amp;search_scope=EVERYTHING&amp;vid=01CRU&amp;lang=en_US&amp;offset=0&amp;query=any,contains,991004337539702656","Catalog Record")</f>
        <v/>
      </c>
      <c r="AV1206">
        <f>HYPERLINK("http://www.worldcat.org/oclc/3840050","WorldCat Record")</f>
        <v/>
      </c>
      <c r="AW1206" t="inlineStr">
        <is>
          <t>424831585:spa</t>
        </is>
      </c>
      <c r="AX1206" t="inlineStr">
        <is>
          <t>3840050</t>
        </is>
      </c>
      <c r="AY1206" t="inlineStr">
        <is>
          <t>991004337539702656</t>
        </is>
      </c>
      <c r="AZ1206" t="inlineStr">
        <is>
          <t>991004337539702656</t>
        </is>
      </c>
      <c r="BA1206" t="inlineStr">
        <is>
          <t>2267761450002656</t>
        </is>
      </c>
      <c r="BB1206" t="inlineStr">
        <is>
          <t>BOOK</t>
        </is>
      </c>
      <c r="BE1206" t="inlineStr">
        <is>
          <t>32285004927926</t>
        </is>
      </c>
      <c r="BF1206" t="inlineStr">
        <is>
          <t>893869602</t>
        </is>
      </c>
    </row>
    <row r="1207">
      <c r="A1207" t="inlineStr">
        <is>
          <t>No</t>
        </is>
      </c>
      <c r="B1207" t="inlineStr">
        <is>
          <t>CURAL</t>
        </is>
      </c>
      <c r="C1207" t="inlineStr">
        <is>
          <t>SHELVES</t>
        </is>
      </c>
      <c r="D1207" t="inlineStr">
        <is>
          <t>PQ8544 .C6 1947</t>
        </is>
      </c>
      <c r="E1207" t="inlineStr">
        <is>
          <t>0                      PQ 8544000C  6           1947</t>
        </is>
      </c>
      <c r="F1207" t="inlineStr">
        <is>
          <t>Breve antología de poetas universitarios : (Facultades de Economía y Derecho) / selección, prólogo y notas de Guillermo Alberto Cook.</t>
        </is>
      </c>
      <c r="H1207" t="inlineStr">
        <is>
          <t>No</t>
        </is>
      </c>
      <c r="I1207" t="inlineStr">
        <is>
          <t>1</t>
        </is>
      </c>
      <c r="J1207" t="inlineStr">
        <is>
          <t>No</t>
        </is>
      </c>
      <c r="K1207" t="inlineStr">
        <is>
          <t>No</t>
        </is>
      </c>
      <c r="L1207" t="inlineStr">
        <is>
          <t>0</t>
        </is>
      </c>
      <c r="M1207" t="inlineStr">
        <is>
          <t>Cook, Guillermo Alberto, compiler.</t>
        </is>
      </c>
      <c r="N1207" t="inlineStr">
        <is>
          <t>Caracas : Centros de Estudiantes de Economía y Derecho, 1947.</t>
        </is>
      </c>
      <c r="O1207" t="inlineStr">
        <is>
          <t>1947</t>
        </is>
      </c>
      <c r="Q1207" t="inlineStr">
        <is>
          <t>spa</t>
        </is>
      </c>
      <c r="R1207" t="inlineStr">
        <is>
          <t xml:space="preserve">ve </t>
        </is>
      </c>
      <c r="T1207" t="inlineStr">
        <is>
          <t xml:space="preserve">PQ </t>
        </is>
      </c>
      <c r="U1207" t="n">
        <v>1</v>
      </c>
      <c r="V1207" t="n">
        <v>1</v>
      </c>
      <c r="W1207" t="inlineStr">
        <is>
          <t>2002-08-27</t>
        </is>
      </c>
      <c r="X1207" t="inlineStr">
        <is>
          <t>2002-08-27</t>
        </is>
      </c>
      <c r="Y1207" t="inlineStr">
        <is>
          <t>2002-08-27</t>
        </is>
      </c>
      <c r="Z1207" t="inlineStr">
        <is>
          <t>2002-08-27</t>
        </is>
      </c>
      <c r="AA1207" t="n">
        <v>38</v>
      </c>
      <c r="AB1207" t="n">
        <v>35</v>
      </c>
      <c r="AC1207" t="n">
        <v>37</v>
      </c>
      <c r="AD1207" t="n">
        <v>2</v>
      </c>
      <c r="AE1207" t="n">
        <v>2</v>
      </c>
      <c r="AF1207" t="n">
        <v>1</v>
      </c>
      <c r="AG1207" t="n">
        <v>1</v>
      </c>
      <c r="AH1207" t="n">
        <v>0</v>
      </c>
      <c r="AI1207" t="n">
        <v>0</v>
      </c>
      <c r="AJ1207" t="n">
        <v>0</v>
      </c>
      <c r="AK1207" t="n">
        <v>0</v>
      </c>
      <c r="AL1207" t="n">
        <v>0</v>
      </c>
      <c r="AM1207" t="n">
        <v>0</v>
      </c>
      <c r="AN1207" t="n">
        <v>1</v>
      </c>
      <c r="AO1207" t="n">
        <v>1</v>
      </c>
      <c r="AP1207" t="n">
        <v>0</v>
      </c>
      <c r="AQ1207" t="n">
        <v>0</v>
      </c>
      <c r="AR1207" t="inlineStr">
        <is>
          <t>No</t>
        </is>
      </c>
      <c r="AS1207" t="inlineStr">
        <is>
          <t>Yes</t>
        </is>
      </c>
      <c r="AT1207">
        <f>HYPERLINK("http://catalog.hathitrust.org/Record/101387738","HathiTrust Record")</f>
        <v/>
      </c>
      <c r="AU1207">
        <f>HYPERLINK("https://creighton-primo.hosted.exlibrisgroup.com/primo-explore/search?tab=default_tab&amp;search_scope=EVERYTHING&amp;vid=01CRU&amp;lang=en_US&amp;offset=0&amp;query=any,contains,991003870499702656","Catalog Record")</f>
        <v/>
      </c>
      <c r="AV1207">
        <f>HYPERLINK("http://www.worldcat.org/oclc/557511","WorldCat Record")</f>
        <v/>
      </c>
      <c r="AW1207" t="inlineStr">
        <is>
          <t>4575316089:spa</t>
        </is>
      </c>
      <c r="AX1207" t="inlineStr">
        <is>
          <t>557511</t>
        </is>
      </c>
      <c r="AY1207" t="inlineStr">
        <is>
          <t>991003870499702656</t>
        </is>
      </c>
      <c r="AZ1207" t="inlineStr">
        <is>
          <t>991003870499702656</t>
        </is>
      </c>
      <c r="BA1207" t="inlineStr">
        <is>
          <t>2261569500002656</t>
        </is>
      </c>
      <c r="BB1207" t="inlineStr">
        <is>
          <t>BOOK</t>
        </is>
      </c>
      <c r="BE1207" t="inlineStr">
        <is>
          <t>32285004645064</t>
        </is>
      </c>
      <c r="BF1207" t="inlineStr">
        <is>
          <t>893423072</t>
        </is>
      </c>
    </row>
    <row r="1208">
      <c r="A1208" t="inlineStr">
        <is>
          <t>No</t>
        </is>
      </c>
      <c r="B1208" t="inlineStr">
        <is>
          <t>CURAL</t>
        </is>
      </c>
      <c r="C1208" t="inlineStr">
        <is>
          <t>SHELVES</t>
        </is>
      </c>
      <c r="D1208" t="inlineStr">
        <is>
          <t>PQ8544 .C795 1994</t>
        </is>
      </c>
      <c r="E1208" t="inlineStr">
        <is>
          <t>0                      PQ 8544000C  795         1994</t>
        </is>
      </c>
      <c r="F1208" t="inlineStr">
        <is>
          <t>Cuarenta poetas se balancean : poesia venezolana (1967-1990) : antologia / Javier Lasarte [compilador].</t>
        </is>
      </c>
      <c r="H1208" t="inlineStr">
        <is>
          <t>No</t>
        </is>
      </c>
      <c r="I1208" t="inlineStr">
        <is>
          <t>1</t>
        </is>
      </c>
      <c r="J1208" t="inlineStr">
        <is>
          <t>No</t>
        </is>
      </c>
      <c r="K1208" t="inlineStr">
        <is>
          <t>No</t>
        </is>
      </c>
      <c r="L1208" t="inlineStr">
        <is>
          <t>0</t>
        </is>
      </c>
      <c r="N1208" t="inlineStr">
        <is>
          <t>Caracas : Fundarte/Alcaldía de Caracas, 1994.</t>
        </is>
      </c>
      <c r="O1208" t="inlineStr">
        <is>
          <t>1994</t>
        </is>
      </c>
      <c r="Q1208" t="inlineStr">
        <is>
          <t>spa</t>
        </is>
      </c>
      <c r="R1208" t="inlineStr">
        <is>
          <t xml:space="preserve">ve </t>
        </is>
      </c>
      <c r="S1208" t="inlineStr">
        <is>
          <t>Colección Cuadernos de difusión ; no. 228</t>
        </is>
      </c>
      <c r="T1208" t="inlineStr">
        <is>
          <t xml:space="preserve">PQ </t>
        </is>
      </c>
      <c r="U1208" t="n">
        <v>1</v>
      </c>
      <c r="V1208" t="n">
        <v>1</v>
      </c>
      <c r="W1208" t="inlineStr">
        <is>
          <t>2001-12-12</t>
        </is>
      </c>
      <c r="X1208" t="inlineStr">
        <is>
          <t>2001-12-12</t>
        </is>
      </c>
      <c r="Y1208" t="inlineStr">
        <is>
          <t>2001-12-11</t>
        </is>
      </c>
      <c r="Z1208" t="inlineStr">
        <is>
          <t>2001-12-11</t>
        </is>
      </c>
      <c r="AA1208" t="n">
        <v>4</v>
      </c>
      <c r="AB1208" t="n">
        <v>4</v>
      </c>
      <c r="AC1208" t="n">
        <v>34</v>
      </c>
      <c r="AD1208" t="n">
        <v>1</v>
      </c>
      <c r="AE1208" t="n">
        <v>1</v>
      </c>
      <c r="AF1208" t="n">
        <v>0</v>
      </c>
      <c r="AG1208" t="n">
        <v>2</v>
      </c>
      <c r="AH1208" t="n">
        <v>0</v>
      </c>
      <c r="AI1208" t="n">
        <v>0</v>
      </c>
      <c r="AJ1208" t="n">
        <v>0</v>
      </c>
      <c r="AK1208" t="n">
        <v>1</v>
      </c>
      <c r="AL1208" t="n">
        <v>0</v>
      </c>
      <c r="AM1208" t="n">
        <v>1</v>
      </c>
      <c r="AN1208" t="n">
        <v>0</v>
      </c>
      <c r="AO1208" t="n">
        <v>0</v>
      </c>
      <c r="AP1208" t="n">
        <v>0</v>
      </c>
      <c r="AQ1208" t="n">
        <v>0</v>
      </c>
      <c r="AR1208" t="inlineStr">
        <is>
          <t>No</t>
        </is>
      </c>
      <c r="AS1208" t="inlineStr">
        <is>
          <t>No</t>
        </is>
      </c>
      <c r="AU1208">
        <f>HYPERLINK("https://creighton-primo.hosted.exlibrisgroup.com/primo-explore/search?tab=default_tab&amp;search_scope=EVERYTHING&amp;vid=01CRU&amp;lang=en_US&amp;offset=0&amp;query=any,contains,991003694799702656","Catalog Record")</f>
        <v/>
      </c>
      <c r="AV1208">
        <f>HYPERLINK("http://www.worldcat.org/oclc/34998197","WorldCat Record")</f>
        <v/>
      </c>
      <c r="AW1208" t="inlineStr">
        <is>
          <t>55615557:spa</t>
        </is>
      </c>
      <c r="AX1208" t="inlineStr">
        <is>
          <t>34998197</t>
        </is>
      </c>
      <c r="AY1208" t="inlineStr">
        <is>
          <t>991003694799702656</t>
        </is>
      </c>
      <c r="AZ1208" t="inlineStr">
        <is>
          <t>991003694799702656</t>
        </is>
      </c>
      <c r="BA1208" t="inlineStr">
        <is>
          <t>2268890500002656</t>
        </is>
      </c>
      <c r="BB1208" t="inlineStr">
        <is>
          <t>BOOK</t>
        </is>
      </c>
      <c r="BE1208" t="inlineStr">
        <is>
          <t>32285004427737</t>
        </is>
      </c>
      <c r="BF1208" t="inlineStr">
        <is>
          <t>893234460</t>
        </is>
      </c>
    </row>
    <row r="1209">
      <c r="A1209" t="inlineStr">
        <is>
          <t>No</t>
        </is>
      </c>
      <c r="B1209" t="inlineStr">
        <is>
          <t>CURAL</t>
        </is>
      </c>
      <c r="C1209" t="inlineStr">
        <is>
          <t>SHELVES</t>
        </is>
      </c>
      <c r="D1209" t="inlineStr">
        <is>
          <t>PQ8544 .E8 1966</t>
        </is>
      </c>
      <c r="E1209" t="inlineStr">
        <is>
          <t>0                      PQ 8544000E  8           1966</t>
        </is>
      </c>
      <c r="F1209" t="inlineStr">
        <is>
          <t>Antología general de la poesía venezolana. Selección, prólogo y notas de J.A. Escalona-Escalona.</t>
        </is>
      </c>
      <c r="H1209" t="inlineStr">
        <is>
          <t>No</t>
        </is>
      </c>
      <c r="I1209" t="inlineStr">
        <is>
          <t>1</t>
        </is>
      </c>
      <c r="J1209" t="inlineStr">
        <is>
          <t>No</t>
        </is>
      </c>
      <c r="K1209" t="inlineStr">
        <is>
          <t>No</t>
        </is>
      </c>
      <c r="L1209" t="inlineStr">
        <is>
          <t>0</t>
        </is>
      </c>
      <c r="M1209" t="inlineStr">
        <is>
          <t>Escalona-Escalona, José Antonio, 1917- editor.</t>
        </is>
      </c>
      <c r="N1209" t="inlineStr">
        <is>
          <t>Madrid, Ediciones Edime, 1966.</t>
        </is>
      </c>
      <c r="O1209" t="inlineStr">
        <is>
          <t>1966</t>
        </is>
      </c>
      <c r="Q1209" t="inlineStr">
        <is>
          <t>spa</t>
        </is>
      </c>
      <c r="R1209" t="inlineStr">
        <is>
          <t xml:space="preserve">sp </t>
        </is>
      </c>
      <c r="S1209" t="inlineStr">
        <is>
          <t>Clásicos y modernos hispanoamericanos</t>
        </is>
      </c>
      <c r="T1209" t="inlineStr">
        <is>
          <t xml:space="preserve">PQ </t>
        </is>
      </c>
      <c r="U1209" t="n">
        <v>1</v>
      </c>
      <c r="V1209" t="n">
        <v>1</v>
      </c>
      <c r="W1209" t="inlineStr">
        <is>
          <t>2004-08-05</t>
        </is>
      </c>
      <c r="X1209" t="inlineStr">
        <is>
          <t>2004-08-05</t>
        </is>
      </c>
      <c r="Y1209" t="inlineStr">
        <is>
          <t>2004-08-05</t>
        </is>
      </c>
      <c r="Z1209" t="inlineStr">
        <is>
          <t>2004-08-05</t>
        </is>
      </c>
      <c r="AA1209" t="n">
        <v>72</v>
      </c>
      <c r="AB1209" t="n">
        <v>62</v>
      </c>
      <c r="AC1209" t="n">
        <v>64</v>
      </c>
      <c r="AD1209" t="n">
        <v>1</v>
      </c>
      <c r="AE1209" t="n">
        <v>1</v>
      </c>
      <c r="AF1209" t="n">
        <v>2</v>
      </c>
      <c r="AG1209" t="n">
        <v>2</v>
      </c>
      <c r="AH1209" t="n">
        <v>1</v>
      </c>
      <c r="AI1209" t="n">
        <v>1</v>
      </c>
      <c r="AJ1209" t="n">
        <v>1</v>
      </c>
      <c r="AK1209" t="n">
        <v>1</v>
      </c>
      <c r="AL1209" t="n">
        <v>2</v>
      </c>
      <c r="AM1209" t="n">
        <v>2</v>
      </c>
      <c r="AN1209" t="n">
        <v>0</v>
      </c>
      <c r="AO1209" t="n">
        <v>0</v>
      </c>
      <c r="AP1209" t="n">
        <v>0</v>
      </c>
      <c r="AQ1209" t="n">
        <v>0</v>
      </c>
      <c r="AR1209" t="inlineStr">
        <is>
          <t>No</t>
        </is>
      </c>
      <c r="AS1209" t="inlineStr">
        <is>
          <t>Yes</t>
        </is>
      </c>
      <c r="AT1209">
        <f>HYPERLINK("http://catalog.hathitrust.org/Record/001048264","HathiTrust Record")</f>
        <v/>
      </c>
      <c r="AU1209">
        <f>HYPERLINK("https://creighton-primo.hosted.exlibrisgroup.com/primo-explore/search?tab=default_tab&amp;search_scope=EVERYTHING&amp;vid=01CRU&amp;lang=en_US&amp;offset=0&amp;query=any,contains,991004339819702656","Catalog Record")</f>
        <v/>
      </c>
      <c r="AV1209">
        <f>HYPERLINK("http://www.worldcat.org/oclc/3911526","WorldCat Record")</f>
        <v/>
      </c>
      <c r="AW1209" t="inlineStr">
        <is>
          <t>13125290:spa</t>
        </is>
      </c>
      <c r="AX1209" t="inlineStr">
        <is>
          <t>3911526</t>
        </is>
      </c>
      <c r="AY1209" t="inlineStr">
        <is>
          <t>991004339819702656</t>
        </is>
      </c>
      <c r="AZ1209" t="inlineStr">
        <is>
          <t>991004339819702656</t>
        </is>
      </c>
      <c r="BA1209" t="inlineStr">
        <is>
          <t>2259888000002656</t>
        </is>
      </c>
      <c r="BB1209" t="inlineStr">
        <is>
          <t>BOOK</t>
        </is>
      </c>
      <c r="BE1209" t="inlineStr">
        <is>
          <t>32285004929617</t>
        </is>
      </c>
      <c r="BF1209" t="inlineStr">
        <is>
          <t>893693826</t>
        </is>
      </c>
    </row>
    <row r="1210">
      <c r="A1210" t="inlineStr">
        <is>
          <t>No</t>
        </is>
      </c>
      <c r="B1210" t="inlineStr">
        <is>
          <t>CURAL</t>
        </is>
      </c>
      <c r="C1210" t="inlineStr">
        <is>
          <t>SHELVES</t>
        </is>
      </c>
      <c r="D1210" t="inlineStr">
        <is>
          <t>PQ8546 .C84 1990</t>
        </is>
      </c>
      <c r="E1210" t="inlineStr">
        <is>
          <t>0                      PQ 8546000C  84          1990</t>
        </is>
      </c>
      <c r="F1210" t="inlineStr">
        <is>
          <t>El Cuento venezolano : antología / José Balza.</t>
        </is>
      </c>
      <c r="H1210" t="inlineStr">
        <is>
          <t>No</t>
        </is>
      </c>
      <c r="I1210" t="inlineStr">
        <is>
          <t>1</t>
        </is>
      </c>
      <c r="J1210" t="inlineStr">
        <is>
          <t>No</t>
        </is>
      </c>
      <c r="K1210" t="inlineStr">
        <is>
          <t>No</t>
        </is>
      </c>
      <c r="L1210" t="inlineStr">
        <is>
          <t>0</t>
        </is>
      </c>
      <c r="N1210" t="inlineStr">
        <is>
          <t>Caracas : Dirección de Cultura, Universidad Central de Venezuela, 1990.</t>
        </is>
      </c>
      <c r="O1210" t="inlineStr">
        <is>
          <t>1990</t>
        </is>
      </c>
      <c r="P1210" t="inlineStr">
        <is>
          <t>2. ed.</t>
        </is>
      </c>
      <c r="Q1210" t="inlineStr">
        <is>
          <t>spa</t>
        </is>
      </c>
      <c r="R1210" t="inlineStr">
        <is>
          <t xml:space="preserve">ve </t>
        </is>
      </c>
      <c r="S1210" t="inlineStr">
        <is>
          <t>Colección Letras de Venezuela ; 83. Serie Narrativa</t>
        </is>
      </c>
      <c r="T1210" t="inlineStr">
        <is>
          <t xml:space="preserve">PQ </t>
        </is>
      </c>
      <c r="U1210" t="n">
        <v>1</v>
      </c>
      <c r="V1210" t="n">
        <v>1</v>
      </c>
      <c r="W1210" t="inlineStr">
        <is>
          <t>2004-08-02</t>
        </is>
      </c>
      <c r="X1210" t="inlineStr">
        <is>
          <t>2004-08-02</t>
        </is>
      </c>
      <c r="Y1210" t="inlineStr">
        <is>
          <t>2004-08-02</t>
        </is>
      </c>
      <c r="Z1210" t="inlineStr">
        <is>
          <t>2004-08-02</t>
        </is>
      </c>
      <c r="AA1210" t="n">
        <v>12</v>
      </c>
      <c r="AB1210" t="n">
        <v>11</v>
      </c>
      <c r="AC1210" t="n">
        <v>61</v>
      </c>
      <c r="AD1210" t="n">
        <v>1</v>
      </c>
      <c r="AE1210" t="n">
        <v>1</v>
      </c>
      <c r="AF1210" t="n">
        <v>0</v>
      </c>
      <c r="AG1210" t="n">
        <v>2</v>
      </c>
      <c r="AH1210" t="n">
        <v>0</v>
      </c>
      <c r="AI1210" t="n">
        <v>1</v>
      </c>
      <c r="AJ1210" t="n">
        <v>0</v>
      </c>
      <c r="AK1210" t="n">
        <v>1</v>
      </c>
      <c r="AL1210" t="n">
        <v>0</v>
      </c>
      <c r="AM1210" t="n">
        <v>2</v>
      </c>
      <c r="AN1210" t="n">
        <v>0</v>
      </c>
      <c r="AO1210" t="n">
        <v>0</v>
      </c>
      <c r="AP1210" t="n">
        <v>0</v>
      </c>
      <c r="AQ1210" t="n">
        <v>0</v>
      </c>
      <c r="AR1210" t="inlineStr">
        <is>
          <t>No</t>
        </is>
      </c>
      <c r="AS1210" t="inlineStr">
        <is>
          <t>No</t>
        </is>
      </c>
      <c r="AU1210">
        <f>HYPERLINK("https://creighton-primo.hosted.exlibrisgroup.com/primo-explore/search?tab=default_tab&amp;search_scope=EVERYTHING&amp;vid=01CRU&amp;lang=en_US&amp;offset=0&amp;query=any,contains,991004332569702656","Catalog Record")</f>
        <v/>
      </c>
      <c r="AV1210">
        <f>HYPERLINK("http://www.worldcat.org/oclc/25509458","WorldCat Record")</f>
        <v/>
      </c>
      <c r="AW1210" t="inlineStr">
        <is>
          <t>918152716:spa</t>
        </is>
      </c>
      <c r="AX1210" t="inlineStr">
        <is>
          <t>25509458</t>
        </is>
      </c>
      <c r="AY1210" t="inlineStr">
        <is>
          <t>991004332569702656</t>
        </is>
      </c>
      <c r="AZ1210" t="inlineStr">
        <is>
          <t>991004332569702656</t>
        </is>
      </c>
      <c r="BA1210" t="inlineStr">
        <is>
          <t>2272121140002656</t>
        </is>
      </c>
      <c r="BB1210" t="inlineStr">
        <is>
          <t>BOOK</t>
        </is>
      </c>
      <c r="BD1210" t="inlineStr">
        <is>
          <t>9789800000311</t>
        </is>
      </c>
      <c r="BE1210" t="inlineStr">
        <is>
          <t>32285004927074</t>
        </is>
      </c>
      <c r="BF1210" t="inlineStr">
        <is>
          <t>893624610</t>
        </is>
      </c>
    </row>
    <row r="1211">
      <c r="A1211" t="inlineStr">
        <is>
          <t>No</t>
        </is>
      </c>
      <c r="B1211" t="inlineStr">
        <is>
          <t>CURAL</t>
        </is>
      </c>
      <c r="C1211" t="inlineStr">
        <is>
          <t>SHELVES</t>
        </is>
      </c>
      <c r="D1211" t="inlineStr">
        <is>
          <t>PQ8546.S5 A7 1968</t>
        </is>
      </c>
      <c r="E1211" t="inlineStr">
        <is>
          <t>0                      PQ 8546000S  5                  A  7           1968</t>
        </is>
      </c>
      <c r="F1211" t="inlineStr">
        <is>
          <t>Aquí Venezuela cuenta [por] J. Garmendia [et al.] Selección: Edmundo Aray. Prólogo: Angel Rama.</t>
        </is>
      </c>
      <c r="H1211" t="inlineStr">
        <is>
          <t>No</t>
        </is>
      </c>
      <c r="I1211" t="inlineStr">
        <is>
          <t>1</t>
        </is>
      </c>
      <c r="J1211" t="inlineStr">
        <is>
          <t>No</t>
        </is>
      </c>
      <c r="K1211" t="inlineStr">
        <is>
          <t>No</t>
        </is>
      </c>
      <c r="L1211" t="inlineStr">
        <is>
          <t>0</t>
        </is>
      </c>
      <c r="M1211" t="inlineStr">
        <is>
          <t>Aray, Edmundo compiler.</t>
        </is>
      </c>
      <c r="N1211" t="inlineStr">
        <is>
          <t>Montevideo, Arca [1968]</t>
        </is>
      </c>
      <c r="O1211" t="inlineStr">
        <is>
          <t>1968</t>
        </is>
      </c>
      <c r="Q1211" t="inlineStr">
        <is>
          <t>spa</t>
        </is>
      </c>
      <c r="R1211" t="inlineStr">
        <is>
          <t xml:space="preserve">uy </t>
        </is>
      </c>
      <c r="S1211" t="inlineStr">
        <is>
          <t>Narrativa latinoamericana ; 13</t>
        </is>
      </c>
      <c r="T1211" t="inlineStr">
        <is>
          <t xml:space="preserve">PQ </t>
        </is>
      </c>
      <c r="U1211" t="n">
        <v>1</v>
      </c>
      <c r="V1211" t="n">
        <v>1</v>
      </c>
      <c r="W1211" t="inlineStr">
        <is>
          <t>2004-08-05</t>
        </is>
      </c>
      <c r="X1211" t="inlineStr">
        <is>
          <t>2004-08-05</t>
        </is>
      </c>
      <c r="Y1211" t="inlineStr">
        <is>
          <t>2004-08-05</t>
        </is>
      </c>
      <c r="Z1211" t="inlineStr">
        <is>
          <t>2004-08-05</t>
        </is>
      </c>
      <c r="AA1211" t="n">
        <v>99</v>
      </c>
      <c r="AB1211" t="n">
        <v>80</v>
      </c>
      <c r="AC1211" t="n">
        <v>83</v>
      </c>
      <c r="AD1211" t="n">
        <v>2</v>
      </c>
      <c r="AE1211" t="n">
        <v>2</v>
      </c>
      <c r="AF1211" t="n">
        <v>1</v>
      </c>
      <c r="AG1211" t="n">
        <v>1</v>
      </c>
      <c r="AH1211" t="n">
        <v>0</v>
      </c>
      <c r="AI1211" t="n">
        <v>0</v>
      </c>
      <c r="AJ1211" t="n">
        <v>0</v>
      </c>
      <c r="AK1211" t="n">
        <v>0</v>
      </c>
      <c r="AL1211" t="n">
        <v>0</v>
      </c>
      <c r="AM1211" t="n">
        <v>0</v>
      </c>
      <c r="AN1211" t="n">
        <v>1</v>
      </c>
      <c r="AO1211" t="n">
        <v>1</v>
      </c>
      <c r="AP1211" t="n">
        <v>0</v>
      </c>
      <c r="AQ1211" t="n">
        <v>0</v>
      </c>
      <c r="AR1211" t="inlineStr">
        <is>
          <t>No</t>
        </is>
      </c>
      <c r="AS1211" t="inlineStr">
        <is>
          <t>Yes</t>
        </is>
      </c>
      <c r="AT1211">
        <f>HYPERLINK("http://catalog.hathitrust.org/Record/101389648","HathiTrust Record")</f>
        <v/>
      </c>
      <c r="AU1211">
        <f>HYPERLINK("https://creighton-primo.hosted.exlibrisgroup.com/primo-explore/search?tab=default_tab&amp;search_scope=EVERYTHING&amp;vid=01CRU&amp;lang=en_US&amp;offset=0&amp;query=any,contains,991004341519702656","Catalog Record")</f>
        <v/>
      </c>
      <c r="AV1211">
        <f>HYPERLINK("http://www.worldcat.org/oclc/289770","WorldCat Record")</f>
        <v/>
      </c>
      <c r="AW1211" t="inlineStr">
        <is>
          <t>1468317:spa</t>
        </is>
      </c>
      <c r="AX1211" t="inlineStr">
        <is>
          <t>289770</t>
        </is>
      </c>
      <c r="AY1211" t="inlineStr">
        <is>
          <t>991004341519702656</t>
        </is>
      </c>
      <c r="AZ1211" t="inlineStr">
        <is>
          <t>991004341519702656</t>
        </is>
      </c>
      <c r="BA1211" t="inlineStr">
        <is>
          <t>2261911680002656</t>
        </is>
      </c>
      <c r="BB1211" t="inlineStr">
        <is>
          <t>BOOK</t>
        </is>
      </c>
      <c r="BE1211" t="inlineStr">
        <is>
          <t>32285004929013</t>
        </is>
      </c>
      <c r="BF1211" t="inlineStr">
        <is>
          <t>893605902</t>
        </is>
      </c>
    </row>
    <row r="1212">
      <c r="A1212" t="inlineStr">
        <is>
          <t>No</t>
        </is>
      </c>
      <c r="B1212" t="inlineStr">
        <is>
          <t>CURAL</t>
        </is>
      </c>
      <c r="C1212" t="inlineStr">
        <is>
          <t>SHELVES</t>
        </is>
      </c>
      <c r="D1212" t="inlineStr">
        <is>
          <t>PQ8549 .R3 1980</t>
        </is>
      </c>
      <c r="E1212" t="inlineStr">
        <is>
          <t>0                      PQ 8549000R  3           1980</t>
        </is>
      </c>
      <c r="F1212" t="inlineStr">
        <is>
          <t>Obra completa / José Antonio Ramos Sucre ; prólogo, José Ramón Medina ; cronología, Sonia García.</t>
        </is>
      </c>
      <c r="H1212" t="inlineStr">
        <is>
          <t>No</t>
        </is>
      </c>
      <c r="I1212" t="inlineStr">
        <is>
          <t>1</t>
        </is>
      </c>
      <c r="J1212" t="inlineStr">
        <is>
          <t>No</t>
        </is>
      </c>
      <c r="K1212" t="inlineStr">
        <is>
          <t>No</t>
        </is>
      </c>
      <c r="L1212" t="inlineStr">
        <is>
          <t>0</t>
        </is>
      </c>
      <c r="M1212" t="inlineStr">
        <is>
          <t>Ramos Sucre, José Antonio.</t>
        </is>
      </c>
      <c r="N1212" t="inlineStr">
        <is>
          <t>Caracas, Venezuela : Biblioteca Ayacucho, [1980]</t>
        </is>
      </c>
      <c r="O1212" t="inlineStr">
        <is>
          <t>1980</t>
        </is>
      </c>
      <c r="Q1212" t="inlineStr">
        <is>
          <t>spa</t>
        </is>
      </c>
      <c r="R1212" t="inlineStr">
        <is>
          <t xml:space="preserve">ve </t>
        </is>
      </c>
      <c r="S1212" t="inlineStr">
        <is>
          <t>Biblioteca Ayacucho ; 73</t>
        </is>
      </c>
      <c r="T1212" t="inlineStr">
        <is>
          <t xml:space="preserve">PQ </t>
        </is>
      </c>
      <c r="U1212" t="n">
        <v>1</v>
      </c>
      <c r="V1212" t="n">
        <v>1</v>
      </c>
      <c r="W1212" t="inlineStr">
        <is>
          <t>2001-11-19</t>
        </is>
      </c>
      <c r="X1212" t="inlineStr">
        <is>
          <t>2001-11-19</t>
        </is>
      </c>
      <c r="Y1212" t="inlineStr">
        <is>
          <t>2001-11-19</t>
        </is>
      </c>
      <c r="Z1212" t="inlineStr">
        <is>
          <t>2001-11-19</t>
        </is>
      </c>
      <c r="AA1212" t="n">
        <v>134</v>
      </c>
      <c r="AB1212" t="n">
        <v>90</v>
      </c>
      <c r="AC1212" t="n">
        <v>116</v>
      </c>
      <c r="AD1212" t="n">
        <v>2</v>
      </c>
      <c r="AE1212" t="n">
        <v>2</v>
      </c>
      <c r="AF1212" t="n">
        <v>5</v>
      </c>
      <c r="AG1212" t="n">
        <v>6</v>
      </c>
      <c r="AH1212" t="n">
        <v>0</v>
      </c>
      <c r="AI1212" t="n">
        <v>0</v>
      </c>
      <c r="AJ1212" t="n">
        <v>3</v>
      </c>
      <c r="AK1212" t="n">
        <v>4</v>
      </c>
      <c r="AL1212" t="n">
        <v>2</v>
      </c>
      <c r="AM1212" t="n">
        <v>3</v>
      </c>
      <c r="AN1212" t="n">
        <v>1</v>
      </c>
      <c r="AO1212" t="n">
        <v>1</v>
      </c>
      <c r="AP1212" t="n">
        <v>0</v>
      </c>
      <c r="AQ1212" t="n">
        <v>0</v>
      </c>
      <c r="AR1212" t="inlineStr">
        <is>
          <t>No</t>
        </is>
      </c>
      <c r="AS1212" t="inlineStr">
        <is>
          <t>Yes</t>
        </is>
      </c>
      <c r="AT1212">
        <f>HYPERLINK("http://catalog.hathitrust.org/Record/000225587","HathiTrust Record")</f>
        <v/>
      </c>
      <c r="AU1212">
        <f>HYPERLINK("https://creighton-primo.hosted.exlibrisgroup.com/primo-explore/search?tab=default_tab&amp;search_scope=EVERYTHING&amp;vid=01CRU&amp;lang=en_US&amp;offset=0&amp;query=any,contains,991003681829702656","Catalog Record")</f>
        <v/>
      </c>
      <c r="AV1212">
        <f>HYPERLINK("http://www.worldcat.org/oclc/7944976","WorldCat Record")</f>
        <v/>
      </c>
      <c r="AW1212" t="inlineStr">
        <is>
          <t>204669992:spa</t>
        </is>
      </c>
      <c r="AX1212" t="inlineStr">
        <is>
          <t>7944976</t>
        </is>
      </c>
      <c r="AY1212" t="inlineStr">
        <is>
          <t>991003681829702656</t>
        </is>
      </c>
      <c r="AZ1212" t="inlineStr">
        <is>
          <t>991003681829702656</t>
        </is>
      </c>
      <c r="BA1212" t="inlineStr">
        <is>
          <t>2271753230002656</t>
        </is>
      </c>
      <c r="BB1212" t="inlineStr">
        <is>
          <t>BOOK</t>
        </is>
      </c>
      <c r="BD1212" t="inlineStr">
        <is>
          <t>9788466000444</t>
        </is>
      </c>
      <c r="BE1212" t="inlineStr">
        <is>
          <t>32285004412416</t>
        </is>
      </c>
      <c r="BF1212" t="inlineStr">
        <is>
          <t>893505865</t>
        </is>
      </c>
    </row>
    <row r="1213">
      <c r="A1213" t="inlineStr">
        <is>
          <t>No</t>
        </is>
      </c>
      <c r="B1213" t="inlineStr">
        <is>
          <t>CURAL</t>
        </is>
      </c>
      <c r="C1213" t="inlineStr">
        <is>
          <t>SHELVES</t>
        </is>
      </c>
      <c r="D1213" t="inlineStr">
        <is>
          <t>PQ8549.A18 Z5 1964</t>
        </is>
      </c>
      <c r="E1213" t="inlineStr">
        <is>
          <t>0                      PQ 8549000A  18                 Z  5           1964</t>
        </is>
      </c>
      <c r="F1213" t="inlineStr">
        <is>
          <t>Se llamaba S. N. : novela-testimonio / Jose Vicente Abreu ; introduccion, notas y apéndice del editor.</t>
        </is>
      </c>
      <c r="H1213" t="inlineStr">
        <is>
          <t>No</t>
        </is>
      </c>
      <c r="I1213" t="inlineStr">
        <is>
          <t>1</t>
        </is>
      </c>
      <c r="J1213" t="inlineStr">
        <is>
          <t>No</t>
        </is>
      </c>
      <c r="K1213" t="inlineStr">
        <is>
          <t>No</t>
        </is>
      </c>
      <c r="L1213" t="inlineStr">
        <is>
          <t>0</t>
        </is>
      </c>
      <c r="M1213" t="inlineStr">
        <is>
          <t>Abreu, José Vicente.</t>
        </is>
      </c>
      <c r="N1213" t="inlineStr">
        <is>
          <t>Caracas : J. A. Catalá, 1964.</t>
        </is>
      </c>
      <c r="O1213" t="inlineStr">
        <is>
          <t>1964</t>
        </is>
      </c>
      <c r="Q1213" t="inlineStr">
        <is>
          <t>spa</t>
        </is>
      </c>
      <c r="R1213" t="inlineStr">
        <is>
          <t xml:space="preserve">ve </t>
        </is>
      </c>
      <c r="S1213" t="inlineStr">
        <is>
          <t>Los Libros de la resistencia, 1</t>
        </is>
      </c>
      <c r="T1213" t="inlineStr">
        <is>
          <t xml:space="preserve">PQ </t>
        </is>
      </c>
      <c r="U1213" t="n">
        <v>1</v>
      </c>
      <c r="V1213" t="n">
        <v>1</v>
      </c>
      <c r="W1213" t="inlineStr">
        <is>
          <t>2002-02-19</t>
        </is>
      </c>
      <c r="X1213" t="inlineStr">
        <is>
          <t>2002-02-19</t>
        </is>
      </c>
      <c r="Y1213" t="inlineStr">
        <is>
          <t>2002-02-19</t>
        </is>
      </c>
      <c r="Z1213" t="inlineStr">
        <is>
          <t>2002-02-19</t>
        </is>
      </c>
      <c r="AA1213" t="n">
        <v>39</v>
      </c>
      <c r="AB1213" t="n">
        <v>35</v>
      </c>
      <c r="AC1213" t="n">
        <v>40</v>
      </c>
      <c r="AD1213" t="n">
        <v>1</v>
      </c>
      <c r="AE1213" t="n">
        <v>1</v>
      </c>
      <c r="AF1213" t="n">
        <v>1</v>
      </c>
      <c r="AG1213" t="n">
        <v>2</v>
      </c>
      <c r="AH1213" t="n">
        <v>0</v>
      </c>
      <c r="AI1213" t="n">
        <v>0</v>
      </c>
      <c r="AJ1213" t="n">
        <v>1</v>
      </c>
      <c r="AK1213" t="n">
        <v>2</v>
      </c>
      <c r="AL1213" t="n">
        <v>1</v>
      </c>
      <c r="AM1213" t="n">
        <v>1</v>
      </c>
      <c r="AN1213" t="n">
        <v>0</v>
      </c>
      <c r="AO1213" t="n">
        <v>0</v>
      </c>
      <c r="AP1213" t="n">
        <v>0</v>
      </c>
      <c r="AQ1213" t="n">
        <v>0</v>
      </c>
      <c r="AR1213" t="inlineStr">
        <is>
          <t>No</t>
        </is>
      </c>
      <c r="AS1213" t="inlineStr">
        <is>
          <t>Yes</t>
        </is>
      </c>
      <c r="AT1213">
        <f>HYPERLINK("http://catalog.hathitrust.org/Record/012390024","HathiTrust Record")</f>
        <v/>
      </c>
      <c r="AU1213">
        <f>HYPERLINK("https://creighton-primo.hosted.exlibrisgroup.com/primo-explore/search?tab=default_tab&amp;search_scope=EVERYTHING&amp;vid=01CRU&amp;lang=en_US&amp;offset=0&amp;query=any,contains,991003739169702656","Catalog Record")</f>
        <v/>
      </c>
      <c r="AV1213">
        <f>HYPERLINK("http://www.worldcat.org/oclc/3089322","WorldCat Record")</f>
        <v/>
      </c>
      <c r="AW1213" t="inlineStr">
        <is>
          <t>10567256215:spa</t>
        </is>
      </c>
      <c r="AX1213" t="inlineStr">
        <is>
          <t>3089322</t>
        </is>
      </c>
      <c r="AY1213" t="inlineStr">
        <is>
          <t>991003739169702656</t>
        </is>
      </c>
      <c r="AZ1213" t="inlineStr">
        <is>
          <t>991003739169702656</t>
        </is>
      </c>
      <c r="BA1213" t="inlineStr">
        <is>
          <t>2262805080002656</t>
        </is>
      </c>
      <c r="BB1213" t="inlineStr">
        <is>
          <t>BOOK</t>
        </is>
      </c>
      <c r="BE1213" t="inlineStr">
        <is>
          <t>32285004455159</t>
        </is>
      </c>
      <c r="BF1213" t="inlineStr">
        <is>
          <t>893234514</t>
        </is>
      </c>
    </row>
    <row r="1214">
      <c r="A1214" t="inlineStr">
        <is>
          <t>No</t>
        </is>
      </c>
      <c r="B1214" t="inlineStr">
        <is>
          <t>CURAL</t>
        </is>
      </c>
      <c r="C1214" t="inlineStr">
        <is>
          <t>SHELVES</t>
        </is>
      </c>
      <c r="D1214" t="inlineStr">
        <is>
          <t>PQ8549.A682 C53 1970</t>
        </is>
      </c>
      <c r="E1214" t="inlineStr">
        <is>
          <t>0                      PQ 8549000A  682                C  53          1970</t>
        </is>
      </c>
      <c r="F1214" t="inlineStr">
        <is>
          <t>Los cielos de la muerte : cuentos escogidos, 1949-1969 / Alfredo Armas Alfonzo.</t>
        </is>
      </c>
      <c r="H1214" t="inlineStr">
        <is>
          <t>No</t>
        </is>
      </c>
      <c r="I1214" t="inlineStr">
        <is>
          <t>1</t>
        </is>
      </c>
      <c r="J1214" t="inlineStr">
        <is>
          <t>No</t>
        </is>
      </c>
      <c r="K1214" t="inlineStr">
        <is>
          <t>No</t>
        </is>
      </c>
      <c r="L1214" t="inlineStr">
        <is>
          <t>0</t>
        </is>
      </c>
      <c r="M1214" t="inlineStr">
        <is>
          <t>Armas Alfonzo, Alfredo, 1921-</t>
        </is>
      </c>
      <c r="N1214" t="inlineStr">
        <is>
          <t>Caracas : Monte Avila, 1970.</t>
        </is>
      </c>
      <c r="O1214" t="inlineStr">
        <is>
          <t>1970</t>
        </is>
      </c>
      <c r="Q1214" t="inlineStr">
        <is>
          <t>spa</t>
        </is>
      </c>
      <c r="R1214" t="inlineStr">
        <is>
          <t xml:space="preserve">ve </t>
        </is>
      </c>
      <c r="S1214" t="inlineStr">
        <is>
          <t>Colección Continente</t>
        </is>
      </c>
      <c r="T1214" t="inlineStr">
        <is>
          <t xml:space="preserve">PQ </t>
        </is>
      </c>
      <c r="U1214" t="n">
        <v>1</v>
      </c>
      <c r="V1214" t="n">
        <v>1</v>
      </c>
      <c r="W1214" t="inlineStr">
        <is>
          <t>2002-02-19</t>
        </is>
      </c>
      <c r="X1214" t="inlineStr">
        <is>
          <t>2002-02-19</t>
        </is>
      </c>
      <c r="Y1214" t="inlineStr">
        <is>
          <t>2002-02-19</t>
        </is>
      </c>
      <c r="Z1214" t="inlineStr">
        <is>
          <t>2002-02-19</t>
        </is>
      </c>
      <c r="AA1214" t="n">
        <v>43</v>
      </c>
      <c r="AB1214" t="n">
        <v>27</v>
      </c>
      <c r="AC1214" t="n">
        <v>28</v>
      </c>
      <c r="AD1214" t="n">
        <v>2</v>
      </c>
      <c r="AE1214" t="n">
        <v>2</v>
      </c>
      <c r="AF1214" t="n">
        <v>1</v>
      </c>
      <c r="AG1214" t="n">
        <v>1</v>
      </c>
      <c r="AH1214" t="n">
        <v>0</v>
      </c>
      <c r="AI1214" t="n">
        <v>0</v>
      </c>
      <c r="AJ1214" t="n">
        <v>0</v>
      </c>
      <c r="AK1214" t="n">
        <v>0</v>
      </c>
      <c r="AL1214" t="n">
        <v>0</v>
      </c>
      <c r="AM1214" t="n">
        <v>0</v>
      </c>
      <c r="AN1214" t="n">
        <v>1</v>
      </c>
      <c r="AO1214" t="n">
        <v>1</v>
      </c>
      <c r="AP1214" t="n">
        <v>0</v>
      </c>
      <c r="AQ1214" t="n">
        <v>0</v>
      </c>
      <c r="AR1214" t="inlineStr">
        <is>
          <t>No</t>
        </is>
      </c>
      <c r="AS1214" t="inlineStr">
        <is>
          <t>No</t>
        </is>
      </c>
      <c r="AU1214">
        <f>HYPERLINK("https://creighton-primo.hosted.exlibrisgroup.com/primo-explore/search?tab=default_tab&amp;search_scope=EVERYTHING&amp;vid=01CRU&amp;lang=en_US&amp;offset=0&amp;query=any,contains,991003739459702656","Catalog Record")</f>
        <v/>
      </c>
      <c r="AV1214">
        <f>HYPERLINK("http://www.worldcat.org/oclc/1745569","WorldCat Record")</f>
        <v/>
      </c>
      <c r="AW1214" t="inlineStr">
        <is>
          <t>370122038:spa</t>
        </is>
      </c>
      <c r="AX1214" t="inlineStr">
        <is>
          <t>1745569</t>
        </is>
      </c>
      <c r="AY1214" t="inlineStr">
        <is>
          <t>991003739459702656</t>
        </is>
      </c>
      <c r="AZ1214" t="inlineStr">
        <is>
          <t>991003739459702656</t>
        </is>
      </c>
      <c r="BA1214" t="inlineStr">
        <is>
          <t>2262494890002656</t>
        </is>
      </c>
      <c r="BB1214" t="inlineStr">
        <is>
          <t>BOOK</t>
        </is>
      </c>
      <c r="BE1214" t="inlineStr">
        <is>
          <t>32285004455068</t>
        </is>
      </c>
      <c r="BF1214" t="inlineStr">
        <is>
          <t>893435373</t>
        </is>
      </c>
    </row>
    <row r="1215">
      <c r="A1215" t="inlineStr">
        <is>
          <t>No</t>
        </is>
      </c>
      <c r="B1215" t="inlineStr">
        <is>
          <t>CURAL</t>
        </is>
      </c>
      <c r="C1215" t="inlineStr">
        <is>
          <t>SHELVES</t>
        </is>
      </c>
      <c r="D1215" t="inlineStr">
        <is>
          <t>PQ8549.A696 A6 1964</t>
        </is>
      </c>
      <c r="E1215" t="inlineStr">
        <is>
          <t>0                      PQ 8549000A  696                A  6           1964</t>
        </is>
      </c>
      <c r="F1215" t="inlineStr">
        <is>
          <t>Poesías / [por] J. T. Arreaza Calatrava. Selección: Oscar Sambrano Urdaneta. Prólogo: Fernando Paz-Castillo.</t>
        </is>
      </c>
      <c r="H1215" t="inlineStr">
        <is>
          <t>No</t>
        </is>
      </c>
      <c r="I1215" t="inlineStr">
        <is>
          <t>1</t>
        </is>
      </c>
      <c r="J1215" t="inlineStr">
        <is>
          <t>No</t>
        </is>
      </c>
      <c r="K1215" t="inlineStr">
        <is>
          <t>No</t>
        </is>
      </c>
      <c r="L1215" t="inlineStr">
        <is>
          <t>0</t>
        </is>
      </c>
      <c r="M1215" t="inlineStr">
        <is>
          <t>Arreaza Calatrava, José Tadeo, 1885-1970.</t>
        </is>
      </c>
      <c r="N1215" t="inlineStr">
        <is>
          <t>Caracas : Ediciones del Ministerio de Educación, Dirección de Cultura y Bellas Artes, Departamento de Publicaciones, 1964.</t>
        </is>
      </c>
      <c r="O1215" t="inlineStr">
        <is>
          <t>1964</t>
        </is>
      </c>
      <c r="Q1215" t="inlineStr">
        <is>
          <t>spa</t>
        </is>
      </c>
      <c r="R1215" t="inlineStr">
        <is>
          <t xml:space="preserve">ve </t>
        </is>
      </c>
      <c r="S1215" t="inlineStr">
        <is>
          <t>Biblioteca popular venezolana ; 98</t>
        </is>
      </c>
      <c r="T1215" t="inlineStr">
        <is>
          <t xml:space="preserve">PQ </t>
        </is>
      </c>
      <c r="U1215" t="n">
        <v>1</v>
      </c>
      <c r="V1215" t="n">
        <v>1</v>
      </c>
      <c r="W1215" t="inlineStr">
        <is>
          <t>2002-04-03</t>
        </is>
      </c>
      <c r="X1215" t="inlineStr">
        <is>
          <t>2002-04-03</t>
        </is>
      </c>
      <c r="Y1215" t="inlineStr">
        <is>
          <t>2002-03-07</t>
        </is>
      </c>
      <c r="Z1215" t="inlineStr">
        <is>
          <t>2002-03-07</t>
        </is>
      </c>
      <c r="AA1215" t="n">
        <v>61</v>
      </c>
      <c r="AB1215" t="n">
        <v>48</v>
      </c>
      <c r="AC1215" t="n">
        <v>54</v>
      </c>
      <c r="AD1215" t="n">
        <v>1</v>
      </c>
      <c r="AE1215" t="n">
        <v>1</v>
      </c>
      <c r="AF1215" t="n">
        <v>2</v>
      </c>
      <c r="AG1215" t="n">
        <v>2</v>
      </c>
      <c r="AH1215" t="n">
        <v>0</v>
      </c>
      <c r="AI1215" t="n">
        <v>0</v>
      </c>
      <c r="AJ1215" t="n">
        <v>0</v>
      </c>
      <c r="AK1215" t="n">
        <v>0</v>
      </c>
      <c r="AL1215" t="n">
        <v>2</v>
      </c>
      <c r="AM1215" t="n">
        <v>2</v>
      </c>
      <c r="AN1215" t="n">
        <v>0</v>
      </c>
      <c r="AO1215" t="n">
        <v>0</v>
      </c>
      <c r="AP1215" t="n">
        <v>0</v>
      </c>
      <c r="AQ1215" t="n">
        <v>0</v>
      </c>
      <c r="AR1215" t="inlineStr">
        <is>
          <t>No</t>
        </is>
      </c>
      <c r="AS1215" t="inlineStr">
        <is>
          <t>Yes</t>
        </is>
      </c>
      <c r="AT1215">
        <f>HYPERLINK("http://catalog.hathitrust.org/Record/101163767","HathiTrust Record")</f>
        <v/>
      </c>
      <c r="AU1215">
        <f>HYPERLINK("https://creighton-primo.hosted.exlibrisgroup.com/primo-explore/search?tab=default_tab&amp;search_scope=EVERYTHING&amp;vid=01CRU&amp;lang=en_US&amp;offset=0&amp;query=any,contains,991003758829702656","Catalog Record")</f>
        <v/>
      </c>
      <c r="AV1215">
        <f>HYPERLINK("http://www.worldcat.org/oclc/3012027","WorldCat Record")</f>
        <v/>
      </c>
      <c r="AW1215" t="inlineStr">
        <is>
          <t>1909438542:spa</t>
        </is>
      </c>
      <c r="AX1215" t="inlineStr">
        <is>
          <t>3012027</t>
        </is>
      </c>
      <c r="AY1215" t="inlineStr">
        <is>
          <t>991003758829702656</t>
        </is>
      </c>
      <c r="AZ1215" t="inlineStr">
        <is>
          <t>991003758829702656</t>
        </is>
      </c>
      <c r="BA1215" t="inlineStr">
        <is>
          <t>2269473500002656</t>
        </is>
      </c>
      <c r="BB1215" t="inlineStr">
        <is>
          <t>BOOK</t>
        </is>
      </c>
      <c r="BE1215" t="inlineStr">
        <is>
          <t>32285004460035</t>
        </is>
      </c>
      <c r="BF1215" t="inlineStr">
        <is>
          <t>893512332</t>
        </is>
      </c>
    </row>
    <row r="1216">
      <c r="A1216" t="inlineStr">
        <is>
          <t>No</t>
        </is>
      </c>
      <c r="B1216" t="inlineStr">
        <is>
          <t>CURAL</t>
        </is>
      </c>
      <c r="C1216" t="inlineStr">
        <is>
          <t>SHELVES</t>
        </is>
      </c>
      <c r="D1216" t="inlineStr">
        <is>
          <t>PQ8549.A696 Z57 1990</t>
        </is>
      </c>
      <c r="E1216" t="inlineStr">
        <is>
          <t>0                      PQ 8549000A  696                Z  57          1990</t>
        </is>
      </c>
      <c r="F1216" t="inlineStr">
        <is>
          <t>José Tadeo Arreaza Calatrava y su manuscrito de El héroe / Basilio Tejedor B.</t>
        </is>
      </c>
      <c r="H1216" t="inlineStr">
        <is>
          <t>No</t>
        </is>
      </c>
      <c r="I1216" t="inlineStr">
        <is>
          <t>1</t>
        </is>
      </c>
      <c r="J1216" t="inlineStr">
        <is>
          <t>No</t>
        </is>
      </c>
      <c r="K1216" t="inlineStr">
        <is>
          <t>No</t>
        </is>
      </c>
      <c r="L1216" t="inlineStr">
        <is>
          <t>0</t>
        </is>
      </c>
      <c r="M1216" t="inlineStr">
        <is>
          <t>Tejedor B., Basilio.</t>
        </is>
      </c>
      <c r="N1216" t="inlineStr">
        <is>
          <t>Caracas, Venezuela : Ediciones Presidencia de la República, 1990.</t>
        </is>
      </c>
      <c r="O1216" t="inlineStr">
        <is>
          <t>1990</t>
        </is>
      </c>
      <c r="Q1216" t="inlineStr">
        <is>
          <t>spa</t>
        </is>
      </c>
      <c r="R1216" t="inlineStr">
        <is>
          <t xml:space="preserve">ve </t>
        </is>
      </c>
      <c r="T1216" t="inlineStr">
        <is>
          <t xml:space="preserve">PQ </t>
        </is>
      </c>
      <c r="U1216" t="n">
        <v>1</v>
      </c>
      <c r="V1216" t="n">
        <v>1</v>
      </c>
      <c r="W1216" t="inlineStr">
        <is>
          <t>2002-07-29</t>
        </is>
      </c>
      <c r="X1216" t="inlineStr">
        <is>
          <t>2002-07-29</t>
        </is>
      </c>
      <c r="Y1216" t="inlineStr">
        <is>
          <t>2002-07-29</t>
        </is>
      </c>
      <c r="Z1216" t="inlineStr">
        <is>
          <t>2002-07-29</t>
        </is>
      </c>
      <c r="AA1216" t="n">
        <v>32</v>
      </c>
      <c r="AB1216" t="n">
        <v>29</v>
      </c>
      <c r="AC1216" t="n">
        <v>29</v>
      </c>
      <c r="AD1216" t="n">
        <v>1</v>
      </c>
      <c r="AE1216" t="n">
        <v>1</v>
      </c>
      <c r="AF1216" t="n">
        <v>1</v>
      </c>
      <c r="AG1216" t="n">
        <v>1</v>
      </c>
      <c r="AH1216" t="n">
        <v>0</v>
      </c>
      <c r="AI1216" t="n">
        <v>0</v>
      </c>
      <c r="AJ1216" t="n">
        <v>1</v>
      </c>
      <c r="AK1216" t="n">
        <v>1</v>
      </c>
      <c r="AL1216" t="n">
        <v>1</v>
      </c>
      <c r="AM1216" t="n">
        <v>1</v>
      </c>
      <c r="AN1216" t="n">
        <v>0</v>
      </c>
      <c r="AO1216" t="n">
        <v>0</v>
      </c>
      <c r="AP1216" t="n">
        <v>0</v>
      </c>
      <c r="AQ1216" t="n">
        <v>0</v>
      </c>
      <c r="AR1216" t="inlineStr">
        <is>
          <t>No</t>
        </is>
      </c>
      <c r="AS1216" t="inlineStr">
        <is>
          <t>No</t>
        </is>
      </c>
      <c r="AU1216">
        <f>HYPERLINK("https://creighton-primo.hosted.exlibrisgroup.com/primo-explore/search?tab=default_tab&amp;search_scope=EVERYTHING&amp;vid=01CRU&amp;lang=en_US&amp;offset=0&amp;query=any,contains,991003847239702656","Catalog Record")</f>
        <v/>
      </c>
      <c r="AV1216">
        <f>HYPERLINK("http://www.worldcat.org/oclc/24431537","WorldCat Record")</f>
        <v/>
      </c>
      <c r="AW1216" t="inlineStr">
        <is>
          <t>26989727:spa</t>
        </is>
      </c>
      <c r="AX1216" t="inlineStr">
        <is>
          <t>24431537</t>
        </is>
      </c>
      <c r="AY1216" t="inlineStr">
        <is>
          <t>991003847239702656</t>
        </is>
      </c>
      <c r="AZ1216" t="inlineStr">
        <is>
          <t>991003847239702656</t>
        </is>
      </c>
      <c r="BA1216" t="inlineStr">
        <is>
          <t>2265382400002656</t>
        </is>
      </c>
      <c r="BB1216" t="inlineStr">
        <is>
          <t>BOOK</t>
        </is>
      </c>
      <c r="BD1216" t="inlineStr">
        <is>
          <t>9789806103108</t>
        </is>
      </c>
      <c r="BE1216" t="inlineStr">
        <is>
          <t>32285004640388</t>
        </is>
      </c>
      <c r="BF1216" t="inlineStr">
        <is>
          <t>893718136</t>
        </is>
      </c>
    </row>
    <row r="1217">
      <c r="A1217" t="inlineStr">
        <is>
          <t>No</t>
        </is>
      </c>
      <c r="B1217" t="inlineStr">
        <is>
          <t>CURAL</t>
        </is>
      </c>
      <c r="C1217" t="inlineStr">
        <is>
          <t>SHELVES</t>
        </is>
      </c>
      <c r="D1217" t="inlineStr">
        <is>
          <t>PQ8549.A73 A17 1976</t>
        </is>
      </c>
      <c r="E1217" t="inlineStr">
        <is>
          <t>0                      PQ 8549000A  73                 A  17          1976</t>
        </is>
      </c>
      <c r="F1217" t="inlineStr">
        <is>
          <t>Antologia poética / Enriqueta Arvelo Larriva ; selección y prefacio de Alfredo Silva Estrada.</t>
        </is>
      </c>
      <c r="H1217" t="inlineStr">
        <is>
          <t>No</t>
        </is>
      </c>
      <c r="I1217" t="inlineStr">
        <is>
          <t>1</t>
        </is>
      </c>
      <c r="J1217" t="inlineStr">
        <is>
          <t>No</t>
        </is>
      </c>
      <c r="K1217" t="inlineStr">
        <is>
          <t>No</t>
        </is>
      </c>
      <c r="L1217" t="inlineStr">
        <is>
          <t>0</t>
        </is>
      </c>
      <c r="M1217" t="inlineStr">
        <is>
          <t>Arvelo Larriva, Enriqueta.</t>
        </is>
      </c>
      <c r="N1217" t="inlineStr">
        <is>
          <t>Caracas, Venezuela : Monte Avila Editores, [1976]</t>
        </is>
      </c>
      <c r="O1217" t="inlineStr">
        <is>
          <t>1976</t>
        </is>
      </c>
      <c r="Q1217" t="inlineStr">
        <is>
          <t>spa</t>
        </is>
      </c>
      <c r="R1217" t="inlineStr">
        <is>
          <t xml:space="preserve">ve </t>
        </is>
      </c>
      <c r="S1217" t="inlineStr">
        <is>
          <t>Colección Altazor</t>
        </is>
      </c>
      <c r="T1217" t="inlineStr">
        <is>
          <t xml:space="preserve">PQ </t>
        </is>
      </c>
      <c r="U1217" t="n">
        <v>1</v>
      </c>
      <c r="V1217" t="n">
        <v>1</v>
      </c>
      <c r="W1217" t="inlineStr">
        <is>
          <t>2002-06-20</t>
        </is>
      </c>
      <c r="X1217" t="inlineStr">
        <is>
          <t>2002-06-20</t>
        </is>
      </c>
      <c r="Y1217" t="inlineStr">
        <is>
          <t>2002-06-20</t>
        </is>
      </c>
      <c r="Z1217" t="inlineStr">
        <is>
          <t>2002-06-20</t>
        </is>
      </c>
      <c r="AA1217" t="n">
        <v>24</v>
      </c>
      <c r="AB1217" t="n">
        <v>20</v>
      </c>
      <c r="AC1217" t="n">
        <v>22</v>
      </c>
      <c r="AD1217" t="n">
        <v>2</v>
      </c>
      <c r="AE1217" t="n">
        <v>2</v>
      </c>
      <c r="AF1217" t="n">
        <v>1</v>
      </c>
      <c r="AG1217" t="n">
        <v>1</v>
      </c>
      <c r="AH1217" t="n">
        <v>0</v>
      </c>
      <c r="AI1217" t="n">
        <v>0</v>
      </c>
      <c r="AJ1217" t="n">
        <v>0</v>
      </c>
      <c r="AK1217" t="n">
        <v>0</v>
      </c>
      <c r="AL1217" t="n">
        <v>0</v>
      </c>
      <c r="AM1217" t="n">
        <v>0</v>
      </c>
      <c r="AN1217" t="n">
        <v>1</v>
      </c>
      <c r="AO1217" t="n">
        <v>1</v>
      </c>
      <c r="AP1217" t="n">
        <v>0</v>
      </c>
      <c r="AQ1217" t="n">
        <v>0</v>
      </c>
      <c r="AR1217" t="inlineStr">
        <is>
          <t>No</t>
        </is>
      </c>
      <c r="AS1217" t="inlineStr">
        <is>
          <t>Yes</t>
        </is>
      </c>
      <c r="AT1217">
        <f>HYPERLINK("http://catalog.hathitrust.org/Record/101163772","HathiTrust Record")</f>
        <v/>
      </c>
      <c r="AU1217">
        <f>HYPERLINK("https://creighton-primo.hosted.exlibrisgroup.com/primo-explore/search?tab=default_tab&amp;search_scope=EVERYTHING&amp;vid=01CRU&amp;lang=en_US&amp;offset=0&amp;query=any,contains,991003829879702656","Catalog Record")</f>
        <v/>
      </c>
      <c r="AV1217">
        <f>HYPERLINK("http://www.worldcat.org/oclc/3733271","WorldCat Record")</f>
        <v/>
      </c>
      <c r="AW1217" t="inlineStr">
        <is>
          <t>1909714837:spa</t>
        </is>
      </c>
      <c r="AX1217" t="inlineStr">
        <is>
          <t>3733271</t>
        </is>
      </c>
      <c r="AY1217" t="inlineStr">
        <is>
          <t>991003829879702656</t>
        </is>
      </c>
      <c r="AZ1217" t="inlineStr">
        <is>
          <t>991003829879702656</t>
        </is>
      </c>
      <c r="BA1217" t="inlineStr">
        <is>
          <t>2270363570002656</t>
        </is>
      </c>
      <c r="BB1217" t="inlineStr">
        <is>
          <t>BOOK</t>
        </is>
      </c>
      <c r="BE1217" t="inlineStr">
        <is>
          <t>32285004494331</t>
        </is>
      </c>
      <c r="BF1217" t="inlineStr">
        <is>
          <t>893423024</t>
        </is>
      </c>
    </row>
    <row r="1218">
      <c r="A1218" t="inlineStr">
        <is>
          <t>No</t>
        </is>
      </c>
      <c r="B1218" t="inlineStr">
        <is>
          <t>CURAL</t>
        </is>
      </c>
      <c r="C1218" t="inlineStr">
        <is>
          <t>SHELVES</t>
        </is>
      </c>
      <c r="D1218" t="inlineStr">
        <is>
          <t>PQ8549.B3 Z613 1979</t>
        </is>
      </c>
      <c r="E1218" t="inlineStr">
        <is>
          <t>0                      PQ 8549000B  3                  Z  613         1979</t>
        </is>
      </c>
      <c r="F1218" t="inlineStr">
        <is>
          <t>Bello y Caracas : primer congreso del bicentenario.</t>
        </is>
      </c>
      <c r="H1218" t="inlineStr">
        <is>
          <t>No</t>
        </is>
      </c>
      <c r="I1218" t="inlineStr">
        <is>
          <t>1</t>
        </is>
      </c>
      <c r="J1218" t="inlineStr">
        <is>
          <t>No</t>
        </is>
      </c>
      <c r="K1218" t="inlineStr">
        <is>
          <t>No</t>
        </is>
      </c>
      <c r="L1218" t="inlineStr">
        <is>
          <t>0</t>
        </is>
      </c>
      <c r="N1218" t="inlineStr">
        <is>
          <t>Caracas : Fundación La Casa de Bello, 1979.</t>
        </is>
      </c>
      <c r="O1218" t="inlineStr">
        <is>
          <t>1979</t>
        </is>
      </c>
      <c r="Q1218" t="inlineStr">
        <is>
          <t>spa</t>
        </is>
      </c>
      <c r="R1218" t="inlineStr">
        <is>
          <t xml:space="preserve">ve </t>
        </is>
      </c>
      <c r="T1218" t="inlineStr">
        <is>
          <t xml:space="preserve">PQ </t>
        </is>
      </c>
      <c r="U1218" t="n">
        <v>1</v>
      </c>
      <c r="V1218" t="n">
        <v>1</v>
      </c>
      <c r="W1218" t="inlineStr">
        <is>
          <t>2002-05-16</t>
        </is>
      </c>
      <c r="X1218" t="inlineStr">
        <is>
          <t>2002-05-16</t>
        </is>
      </c>
      <c r="Y1218" t="inlineStr">
        <is>
          <t>2002-05-08</t>
        </is>
      </c>
      <c r="Z1218" t="inlineStr">
        <is>
          <t>2002-05-08</t>
        </is>
      </c>
      <c r="AA1218" t="n">
        <v>66</v>
      </c>
      <c r="AB1218" t="n">
        <v>49</v>
      </c>
      <c r="AC1218" t="n">
        <v>52</v>
      </c>
      <c r="AD1218" t="n">
        <v>2</v>
      </c>
      <c r="AE1218" t="n">
        <v>2</v>
      </c>
      <c r="AF1218" t="n">
        <v>2</v>
      </c>
      <c r="AG1218" t="n">
        <v>2</v>
      </c>
      <c r="AH1218" t="n">
        <v>0</v>
      </c>
      <c r="AI1218" t="n">
        <v>0</v>
      </c>
      <c r="AJ1218" t="n">
        <v>1</v>
      </c>
      <c r="AK1218" t="n">
        <v>1</v>
      </c>
      <c r="AL1218" t="n">
        <v>1</v>
      </c>
      <c r="AM1218" t="n">
        <v>1</v>
      </c>
      <c r="AN1218" t="n">
        <v>1</v>
      </c>
      <c r="AO1218" t="n">
        <v>1</v>
      </c>
      <c r="AP1218" t="n">
        <v>0</v>
      </c>
      <c r="AQ1218" t="n">
        <v>0</v>
      </c>
      <c r="AR1218" t="inlineStr">
        <is>
          <t>No</t>
        </is>
      </c>
      <c r="AS1218" t="inlineStr">
        <is>
          <t>Yes</t>
        </is>
      </c>
      <c r="AT1218">
        <f>HYPERLINK("http://catalog.hathitrust.org/Record/006121495","HathiTrust Record")</f>
        <v/>
      </c>
      <c r="AU1218">
        <f>HYPERLINK("https://creighton-primo.hosted.exlibrisgroup.com/primo-explore/search?tab=default_tab&amp;search_scope=EVERYTHING&amp;vid=01CRU&amp;lang=en_US&amp;offset=0&amp;query=any,contains,991003806309702656","Catalog Record")</f>
        <v/>
      </c>
      <c r="AV1218">
        <f>HYPERLINK("http://www.worldcat.org/oclc/7836604","WorldCat Record")</f>
        <v/>
      </c>
      <c r="AW1218" t="inlineStr">
        <is>
          <t>815041276:spa</t>
        </is>
      </c>
      <c r="AX1218" t="inlineStr">
        <is>
          <t>7836604</t>
        </is>
      </c>
      <c r="AY1218" t="inlineStr">
        <is>
          <t>991003806309702656</t>
        </is>
      </c>
      <c r="AZ1218" t="inlineStr">
        <is>
          <t>991003806309702656</t>
        </is>
      </c>
      <c r="BA1218" t="inlineStr">
        <is>
          <t>2255408360002656</t>
        </is>
      </c>
      <c r="BB1218" t="inlineStr">
        <is>
          <t>BOOK</t>
        </is>
      </c>
      <c r="BE1218" t="inlineStr">
        <is>
          <t>32285004487046</t>
        </is>
      </c>
      <c r="BF1218" t="inlineStr">
        <is>
          <t>893246754</t>
        </is>
      </c>
    </row>
    <row r="1219">
      <c r="A1219" t="inlineStr">
        <is>
          <t>No</t>
        </is>
      </c>
      <c r="B1219" t="inlineStr">
        <is>
          <t>CURAL</t>
        </is>
      </c>
      <c r="C1219" t="inlineStr">
        <is>
          <t>SHELVES</t>
        </is>
      </c>
      <c r="D1219" t="inlineStr">
        <is>
          <t>PQ8549.B3 Z614 1980</t>
        </is>
      </c>
      <c r="E1219" t="inlineStr">
        <is>
          <t>0                      PQ 8549000B  3                  Z  614         1980</t>
        </is>
      </c>
      <c r="F1219" t="inlineStr">
        <is>
          <t>Bello y Londres : segundo congreso del bicentenario.</t>
        </is>
      </c>
      <c r="G1219" t="inlineStr">
        <is>
          <t>V. 1</t>
        </is>
      </c>
      <c r="H1219" t="inlineStr">
        <is>
          <t>Yes</t>
        </is>
      </c>
      <c r="I1219" t="inlineStr">
        <is>
          <t>1</t>
        </is>
      </c>
      <c r="J1219" t="inlineStr">
        <is>
          <t>No</t>
        </is>
      </c>
      <c r="K1219" t="inlineStr">
        <is>
          <t>No</t>
        </is>
      </c>
      <c r="L1219" t="inlineStr">
        <is>
          <t>0</t>
        </is>
      </c>
      <c r="N1219" t="inlineStr">
        <is>
          <t>Caracas : Fundación La Casa de Bello, 1980-1981.</t>
        </is>
      </c>
      <c r="O1219" t="inlineStr">
        <is>
          <t>1980</t>
        </is>
      </c>
      <c r="Q1219" t="inlineStr">
        <is>
          <t>eng</t>
        </is>
      </c>
      <c r="R1219" t="inlineStr">
        <is>
          <t xml:space="preserve">ve </t>
        </is>
      </c>
      <c r="T1219" t="inlineStr">
        <is>
          <t xml:space="preserve">PQ </t>
        </is>
      </c>
      <c r="U1219" t="n">
        <v>1</v>
      </c>
      <c r="V1219" t="n">
        <v>1</v>
      </c>
      <c r="W1219" t="inlineStr">
        <is>
          <t>2002-04-09</t>
        </is>
      </c>
      <c r="X1219" t="inlineStr">
        <is>
          <t>2002-04-09</t>
        </is>
      </c>
      <c r="Y1219" t="inlineStr">
        <is>
          <t>2002-03-14</t>
        </is>
      </c>
      <c r="Z1219" t="inlineStr">
        <is>
          <t>2002-03-14</t>
        </is>
      </c>
      <c r="AA1219" t="n">
        <v>67</v>
      </c>
      <c r="AB1219" t="n">
        <v>51</v>
      </c>
      <c r="AC1219" t="n">
        <v>53</v>
      </c>
      <c r="AD1219" t="n">
        <v>2</v>
      </c>
      <c r="AE1219" t="n">
        <v>2</v>
      </c>
      <c r="AF1219" t="n">
        <v>2</v>
      </c>
      <c r="AG1219" t="n">
        <v>2</v>
      </c>
      <c r="AH1219" t="n">
        <v>0</v>
      </c>
      <c r="AI1219" t="n">
        <v>0</v>
      </c>
      <c r="AJ1219" t="n">
        <v>0</v>
      </c>
      <c r="AK1219" t="n">
        <v>0</v>
      </c>
      <c r="AL1219" t="n">
        <v>1</v>
      </c>
      <c r="AM1219" t="n">
        <v>1</v>
      </c>
      <c r="AN1219" t="n">
        <v>1</v>
      </c>
      <c r="AO1219" t="n">
        <v>1</v>
      </c>
      <c r="AP1219" t="n">
        <v>0</v>
      </c>
      <c r="AQ1219" t="n">
        <v>0</v>
      </c>
      <c r="AR1219" t="inlineStr">
        <is>
          <t>No</t>
        </is>
      </c>
      <c r="AS1219" t="inlineStr">
        <is>
          <t>Yes</t>
        </is>
      </c>
      <c r="AT1219">
        <f>HYPERLINK("http://catalog.hathitrust.org/Record/101163813","HathiTrust Record")</f>
        <v/>
      </c>
      <c r="AU1219">
        <f>HYPERLINK("https://creighton-primo.hosted.exlibrisgroup.com/primo-explore/search?tab=default_tab&amp;search_scope=EVERYTHING&amp;vid=01CRU&amp;lang=en_US&amp;offset=0&amp;query=any,contains,991003765139702656","Catalog Record")</f>
        <v/>
      </c>
      <c r="AV1219">
        <f>HYPERLINK("http://www.worldcat.org/oclc/8728261","WorldCat Record")</f>
        <v/>
      </c>
      <c r="AW1219" t="inlineStr">
        <is>
          <t>905864469:eng</t>
        </is>
      </c>
      <c r="AX1219" t="inlineStr">
        <is>
          <t>8728261</t>
        </is>
      </c>
      <c r="AY1219" t="inlineStr">
        <is>
          <t>991003765139702656</t>
        </is>
      </c>
      <c r="AZ1219" t="inlineStr">
        <is>
          <t>991003765139702656</t>
        </is>
      </c>
      <c r="BA1219" t="inlineStr">
        <is>
          <t>2271210440002656</t>
        </is>
      </c>
      <c r="BB1219" t="inlineStr">
        <is>
          <t>BOOK</t>
        </is>
      </c>
      <c r="BE1219" t="inlineStr">
        <is>
          <t>32285004461041</t>
        </is>
      </c>
      <c r="BF1219" t="inlineStr">
        <is>
          <t>893686929</t>
        </is>
      </c>
    </row>
    <row r="1220">
      <c r="A1220" t="inlineStr">
        <is>
          <t>No</t>
        </is>
      </c>
      <c r="B1220" t="inlineStr">
        <is>
          <t>CURAL</t>
        </is>
      </c>
      <c r="C1220" t="inlineStr">
        <is>
          <t>SHELVES</t>
        </is>
      </c>
      <c r="D1220" t="inlineStr">
        <is>
          <t>PQ8549.B3 Z617 1978</t>
        </is>
      </c>
      <c r="E1220" t="inlineStr">
        <is>
          <t>0                      PQ 8549000B  3                  Z  617         1978</t>
        </is>
      </c>
      <c r="F1220" t="inlineStr">
        <is>
          <t>El solar caraqueño de Andrés Bello / Alfredo Boulton.</t>
        </is>
      </c>
      <c r="H1220" t="inlineStr">
        <is>
          <t>No</t>
        </is>
      </c>
      <c r="I1220" t="inlineStr">
        <is>
          <t>1</t>
        </is>
      </c>
      <c r="J1220" t="inlineStr">
        <is>
          <t>No</t>
        </is>
      </c>
      <c r="K1220" t="inlineStr">
        <is>
          <t>No</t>
        </is>
      </c>
      <c r="L1220" t="inlineStr">
        <is>
          <t>0</t>
        </is>
      </c>
      <c r="M1220" t="inlineStr">
        <is>
          <t>Boulton, Alfredo.</t>
        </is>
      </c>
      <c r="N1220" t="inlineStr">
        <is>
          <t>Caracas : La Casa de Bello, 1978.</t>
        </is>
      </c>
      <c r="O1220" t="inlineStr">
        <is>
          <t>1978</t>
        </is>
      </c>
      <c r="Q1220" t="inlineStr">
        <is>
          <t>spa</t>
        </is>
      </c>
      <c r="R1220" t="inlineStr">
        <is>
          <t xml:space="preserve">ve </t>
        </is>
      </c>
      <c r="T1220" t="inlineStr">
        <is>
          <t xml:space="preserve">PQ </t>
        </is>
      </c>
      <c r="U1220" t="n">
        <v>1</v>
      </c>
      <c r="V1220" t="n">
        <v>1</v>
      </c>
      <c r="W1220" t="inlineStr">
        <is>
          <t>2002-09-24</t>
        </is>
      </c>
      <c r="X1220" t="inlineStr">
        <is>
          <t>2002-09-24</t>
        </is>
      </c>
      <c r="Y1220" t="inlineStr">
        <is>
          <t>2002-09-24</t>
        </is>
      </c>
      <c r="Z1220" t="inlineStr">
        <is>
          <t>2002-09-24</t>
        </is>
      </c>
      <c r="AA1220" t="n">
        <v>56</v>
      </c>
      <c r="AB1220" t="n">
        <v>45</v>
      </c>
      <c r="AC1220" t="n">
        <v>57</v>
      </c>
      <c r="AD1220" t="n">
        <v>1</v>
      </c>
      <c r="AE1220" t="n">
        <v>1</v>
      </c>
      <c r="AF1220" t="n">
        <v>2</v>
      </c>
      <c r="AG1220" t="n">
        <v>2</v>
      </c>
      <c r="AH1220" t="n">
        <v>1</v>
      </c>
      <c r="AI1220" t="n">
        <v>1</v>
      </c>
      <c r="AJ1220" t="n">
        <v>0</v>
      </c>
      <c r="AK1220" t="n">
        <v>0</v>
      </c>
      <c r="AL1220" t="n">
        <v>2</v>
      </c>
      <c r="AM1220" t="n">
        <v>2</v>
      </c>
      <c r="AN1220" t="n">
        <v>0</v>
      </c>
      <c r="AO1220" t="n">
        <v>0</v>
      </c>
      <c r="AP1220" t="n">
        <v>0</v>
      </c>
      <c r="AQ1220" t="n">
        <v>0</v>
      </c>
      <c r="AR1220" t="inlineStr">
        <is>
          <t>No</t>
        </is>
      </c>
      <c r="AS1220" t="inlineStr">
        <is>
          <t>Yes</t>
        </is>
      </c>
      <c r="AT1220">
        <f>HYPERLINK("http://catalog.hathitrust.org/Record/006121545","HathiTrust Record")</f>
        <v/>
      </c>
      <c r="AU1220">
        <f>HYPERLINK("https://creighton-primo.hosted.exlibrisgroup.com/primo-explore/search?tab=default_tab&amp;search_scope=EVERYTHING&amp;vid=01CRU&amp;lang=en_US&amp;offset=0&amp;query=any,contains,991003894369702656","Catalog Record")</f>
        <v/>
      </c>
      <c r="AV1220">
        <f>HYPERLINK("http://www.worldcat.org/oclc/5829723","WorldCat Record")</f>
        <v/>
      </c>
      <c r="AW1220" t="inlineStr">
        <is>
          <t>376021905:spa</t>
        </is>
      </c>
      <c r="AX1220" t="inlineStr">
        <is>
          <t>5829723</t>
        </is>
      </c>
      <c r="AY1220" t="inlineStr">
        <is>
          <t>991003894369702656</t>
        </is>
      </c>
      <c r="AZ1220" t="inlineStr">
        <is>
          <t>991003894369702656</t>
        </is>
      </c>
      <c r="BA1220" t="inlineStr">
        <is>
          <t>2261029970002656</t>
        </is>
      </c>
      <c r="BB1220" t="inlineStr">
        <is>
          <t>BOOK</t>
        </is>
      </c>
      <c r="BE1220" t="inlineStr">
        <is>
          <t>32285004649124</t>
        </is>
      </c>
      <c r="BF1220" t="inlineStr">
        <is>
          <t>893605366</t>
        </is>
      </c>
    </row>
    <row r="1221">
      <c r="A1221" t="inlineStr">
        <is>
          <t>No</t>
        </is>
      </c>
      <c r="B1221" t="inlineStr">
        <is>
          <t>CURAL</t>
        </is>
      </c>
      <c r="C1221" t="inlineStr">
        <is>
          <t>SHELVES</t>
        </is>
      </c>
      <c r="D1221" t="inlineStr">
        <is>
          <t>PQ8549.B3 Z6485 1973</t>
        </is>
      </c>
      <c r="E1221" t="inlineStr">
        <is>
          <t>0                      PQ 8549000B  3                  Z  6485        1973</t>
        </is>
      </c>
      <c r="F1221" t="inlineStr">
        <is>
          <t>Los dramas psíquicos y estéticos de Andrés Bello / Edoardo Crema.</t>
        </is>
      </c>
      <c r="H1221" t="inlineStr">
        <is>
          <t>No</t>
        </is>
      </c>
      <c r="I1221" t="inlineStr">
        <is>
          <t>1</t>
        </is>
      </c>
      <c r="J1221" t="inlineStr">
        <is>
          <t>No</t>
        </is>
      </c>
      <c r="K1221" t="inlineStr">
        <is>
          <t>No</t>
        </is>
      </c>
      <c r="L1221" t="inlineStr">
        <is>
          <t>0</t>
        </is>
      </c>
      <c r="M1221" t="inlineStr">
        <is>
          <t>Crema, Edoardo, 1892-1974.</t>
        </is>
      </c>
      <c r="N1221" t="inlineStr">
        <is>
          <t>Caracas : Ediciones de la Presidencia de la República, 1973.</t>
        </is>
      </c>
      <c r="O1221" t="inlineStr">
        <is>
          <t>1973</t>
        </is>
      </c>
      <c r="Q1221" t="inlineStr">
        <is>
          <t>spa</t>
        </is>
      </c>
      <c r="R1221" t="inlineStr">
        <is>
          <t xml:space="preserve">ve </t>
        </is>
      </c>
      <c r="T1221" t="inlineStr">
        <is>
          <t xml:space="preserve">PQ </t>
        </is>
      </c>
      <c r="U1221" t="n">
        <v>1</v>
      </c>
      <c r="V1221" t="n">
        <v>1</v>
      </c>
      <c r="W1221" t="inlineStr">
        <is>
          <t>2002-09-24</t>
        </is>
      </c>
      <c r="X1221" t="inlineStr">
        <is>
          <t>2002-09-24</t>
        </is>
      </c>
      <c r="Y1221" t="inlineStr">
        <is>
          <t>2002-09-24</t>
        </is>
      </c>
      <c r="Z1221" t="inlineStr">
        <is>
          <t>2002-09-24</t>
        </is>
      </c>
      <c r="AA1221" t="n">
        <v>31</v>
      </c>
      <c r="AB1221" t="n">
        <v>27</v>
      </c>
      <c r="AC1221" t="n">
        <v>31</v>
      </c>
      <c r="AD1221" t="n">
        <v>1</v>
      </c>
      <c r="AE1221" t="n">
        <v>1</v>
      </c>
      <c r="AF1221" t="n">
        <v>1</v>
      </c>
      <c r="AG1221" t="n">
        <v>1</v>
      </c>
      <c r="AH1221" t="n">
        <v>0</v>
      </c>
      <c r="AI1221" t="n">
        <v>0</v>
      </c>
      <c r="AJ1221" t="n">
        <v>1</v>
      </c>
      <c r="AK1221" t="n">
        <v>1</v>
      </c>
      <c r="AL1221" t="n">
        <v>0</v>
      </c>
      <c r="AM1221" t="n">
        <v>0</v>
      </c>
      <c r="AN1221" t="n">
        <v>0</v>
      </c>
      <c r="AO1221" t="n">
        <v>0</v>
      </c>
      <c r="AP1221" t="n">
        <v>0</v>
      </c>
      <c r="AQ1221" t="n">
        <v>0</v>
      </c>
      <c r="AR1221" t="inlineStr">
        <is>
          <t>No</t>
        </is>
      </c>
      <c r="AS1221" t="inlineStr">
        <is>
          <t>Yes</t>
        </is>
      </c>
      <c r="AT1221">
        <f>HYPERLINK("http://catalog.hathitrust.org/Record/006716747","HathiTrust Record")</f>
        <v/>
      </c>
      <c r="AU1221">
        <f>HYPERLINK("https://creighton-primo.hosted.exlibrisgroup.com/primo-explore/search?tab=default_tab&amp;search_scope=EVERYTHING&amp;vid=01CRU&amp;lang=en_US&amp;offset=0&amp;query=any,contains,991003894239702656","Catalog Record")</f>
        <v/>
      </c>
      <c r="AV1221">
        <f>HYPERLINK("http://www.worldcat.org/oclc/1984123","WorldCat Record")</f>
        <v/>
      </c>
      <c r="AW1221" t="inlineStr">
        <is>
          <t>423508404:spa</t>
        </is>
      </c>
      <c r="AX1221" t="inlineStr">
        <is>
          <t>1984123</t>
        </is>
      </c>
      <c r="AY1221" t="inlineStr">
        <is>
          <t>991003894239702656</t>
        </is>
      </c>
      <c r="AZ1221" t="inlineStr">
        <is>
          <t>991003894239702656</t>
        </is>
      </c>
      <c r="BA1221" t="inlineStr">
        <is>
          <t>2260571750002656</t>
        </is>
      </c>
      <c r="BB1221" t="inlineStr">
        <is>
          <t>BOOK</t>
        </is>
      </c>
      <c r="BE1221" t="inlineStr">
        <is>
          <t>32285004647417</t>
        </is>
      </c>
      <c r="BF1221" t="inlineStr">
        <is>
          <t>893687097</t>
        </is>
      </c>
    </row>
    <row r="1222">
      <c r="A1222" t="inlineStr">
        <is>
          <t>No</t>
        </is>
      </c>
      <c r="B1222" t="inlineStr">
        <is>
          <t>CURAL</t>
        </is>
      </c>
      <c r="C1222" t="inlineStr">
        <is>
          <t>SHELVES</t>
        </is>
      </c>
      <c r="D1222" t="inlineStr">
        <is>
          <t>PQ8549.B3 Z6486 1973</t>
        </is>
      </c>
      <c r="E1222" t="inlineStr">
        <is>
          <t>0                      PQ 8549000B  3                  Z  6486        1973</t>
        </is>
      </c>
      <c r="F1222" t="inlineStr">
        <is>
          <t>Las amarguras de Bello en Chile / Edoardo Crema.</t>
        </is>
      </c>
      <c r="H1222" t="inlineStr">
        <is>
          <t>No</t>
        </is>
      </c>
      <c r="I1222" t="inlineStr">
        <is>
          <t>1</t>
        </is>
      </c>
      <c r="J1222" t="inlineStr">
        <is>
          <t>No</t>
        </is>
      </c>
      <c r="K1222" t="inlineStr">
        <is>
          <t>No</t>
        </is>
      </c>
      <c r="L1222" t="inlineStr">
        <is>
          <t>0</t>
        </is>
      </c>
      <c r="M1222" t="inlineStr">
        <is>
          <t>Crema, Edoardo, 1892-1974.</t>
        </is>
      </c>
      <c r="N1222" t="inlineStr">
        <is>
          <t>Caracas : Ediciones de la Presidencia de la República, 1973.</t>
        </is>
      </c>
      <c r="O1222" t="inlineStr">
        <is>
          <t>1973</t>
        </is>
      </c>
      <c r="Q1222" t="inlineStr">
        <is>
          <t>spa</t>
        </is>
      </c>
      <c r="R1222" t="inlineStr">
        <is>
          <t xml:space="preserve">ve </t>
        </is>
      </c>
      <c r="T1222" t="inlineStr">
        <is>
          <t xml:space="preserve">PQ </t>
        </is>
      </c>
      <c r="U1222" t="n">
        <v>1</v>
      </c>
      <c r="V1222" t="n">
        <v>1</v>
      </c>
      <c r="W1222" t="inlineStr">
        <is>
          <t>2002-09-24</t>
        </is>
      </c>
      <c r="X1222" t="inlineStr">
        <is>
          <t>2002-09-24</t>
        </is>
      </c>
      <c r="Y1222" t="inlineStr">
        <is>
          <t>2002-09-24</t>
        </is>
      </c>
      <c r="Z1222" t="inlineStr">
        <is>
          <t>2002-09-24</t>
        </is>
      </c>
      <c r="AA1222" t="n">
        <v>22</v>
      </c>
      <c r="AB1222" t="n">
        <v>19</v>
      </c>
      <c r="AC1222" t="n">
        <v>20</v>
      </c>
      <c r="AD1222" t="n">
        <v>1</v>
      </c>
      <c r="AE1222" t="n">
        <v>1</v>
      </c>
      <c r="AF1222" t="n">
        <v>1</v>
      </c>
      <c r="AG1222" t="n">
        <v>1</v>
      </c>
      <c r="AH1222" t="n">
        <v>0</v>
      </c>
      <c r="AI1222" t="n">
        <v>0</v>
      </c>
      <c r="AJ1222" t="n">
        <v>1</v>
      </c>
      <c r="AK1222" t="n">
        <v>1</v>
      </c>
      <c r="AL1222" t="n">
        <v>0</v>
      </c>
      <c r="AM1222" t="n">
        <v>0</v>
      </c>
      <c r="AN1222" t="n">
        <v>0</v>
      </c>
      <c r="AO1222" t="n">
        <v>0</v>
      </c>
      <c r="AP1222" t="n">
        <v>0</v>
      </c>
      <c r="AQ1222" t="n">
        <v>0</v>
      </c>
      <c r="AR1222" t="inlineStr">
        <is>
          <t>No</t>
        </is>
      </c>
      <c r="AS1222" t="inlineStr">
        <is>
          <t>Yes</t>
        </is>
      </c>
      <c r="AT1222">
        <f>HYPERLINK("http://catalog.hathitrust.org/Record/101163822","HathiTrust Record")</f>
        <v/>
      </c>
      <c r="AU1222">
        <f>HYPERLINK("https://creighton-primo.hosted.exlibrisgroup.com/primo-explore/search?tab=default_tab&amp;search_scope=EVERYTHING&amp;vid=01CRU&amp;lang=en_US&amp;offset=0&amp;query=any,contains,991003894269702656","Catalog Record")</f>
        <v/>
      </c>
      <c r="AV1222">
        <f>HYPERLINK("http://www.worldcat.org/oclc/4323739","WorldCat Record")</f>
        <v/>
      </c>
      <c r="AW1222" t="inlineStr">
        <is>
          <t>425055687:spa</t>
        </is>
      </c>
      <c r="AX1222" t="inlineStr">
        <is>
          <t>4323739</t>
        </is>
      </c>
      <c r="AY1222" t="inlineStr">
        <is>
          <t>991003894269702656</t>
        </is>
      </c>
      <c r="AZ1222" t="inlineStr">
        <is>
          <t>991003894269702656</t>
        </is>
      </c>
      <c r="BA1222" t="inlineStr">
        <is>
          <t>2261486150002656</t>
        </is>
      </c>
      <c r="BB1222" t="inlineStr">
        <is>
          <t>BOOK</t>
        </is>
      </c>
      <c r="BE1222" t="inlineStr">
        <is>
          <t>32285004647425</t>
        </is>
      </c>
      <c r="BF1222" t="inlineStr">
        <is>
          <t>893617966</t>
        </is>
      </c>
    </row>
    <row r="1223">
      <c r="A1223" t="inlineStr">
        <is>
          <t>No</t>
        </is>
      </c>
      <c r="B1223" t="inlineStr">
        <is>
          <t>CURAL</t>
        </is>
      </c>
      <c r="C1223" t="inlineStr">
        <is>
          <t>SHELVES</t>
        </is>
      </c>
      <c r="D1223" t="inlineStr">
        <is>
          <t>PQ8549.B3 Z6486 1987</t>
        </is>
      </c>
      <c r="E1223" t="inlineStr">
        <is>
          <t>0                      PQ 8549000B  3                  Z  6486        1987</t>
        </is>
      </c>
      <c r="F1223" t="inlineStr">
        <is>
          <t>Estudios sobre Andraes Bello / Edoardo Crema ; preliminar de Oscar Sambrano Urdaneta.</t>
        </is>
      </c>
      <c r="H1223" t="inlineStr">
        <is>
          <t>No</t>
        </is>
      </c>
      <c r="I1223" t="inlineStr">
        <is>
          <t>1</t>
        </is>
      </c>
      <c r="J1223" t="inlineStr">
        <is>
          <t>No</t>
        </is>
      </c>
      <c r="K1223" t="inlineStr">
        <is>
          <t>No</t>
        </is>
      </c>
      <c r="L1223" t="inlineStr">
        <is>
          <t>0</t>
        </is>
      </c>
      <c r="M1223" t="inlineStr">
        <is>
          <t>Crema, Edoardo, 1892-1974.</t>
        </is>
      </c>
      <c r="N1223" t="inlineStr">
        <is>
          <t>Caracas : La Casa de Bello, 1987.</t>
        </is>
      </c>
      <c r="O1223" t="inlineStr">
        <is>
          <t>1987</t>
        </is>
      </c>
      <c r="P1223" t="inlineStr">
        <is>
          <t>1a. ed.</t>
        </is>
      </c>
      <c r="Q1223" t="inlineStr">
        <is>
          <t>spa</t>
        </is>
      </c>
      <c r="R1223" t="inlineStr">
        <is>
          <t xml:space="preserve">ve </t>
        </is>
      </c>
      <c r="S1223" t="inlineStr">
        <is>
          <t>Anexos a las obras completas de Andraes Bello ; 7</t>
        </is>
      </c>
      <c r="T1223" t="inlineStr">
        <is>
          <t xml:space="preserve">PQ </t>
        </is>
      </c>
      <c r="U1223" t="n">
        <v>1</v>
      </c>
      <c r="V1223" t="n">
        <v>1</v>
      </c>
      <c r="W1223" t="inlineStr">
        <is>
          <t>2004-08-02</t>
        </is>
      </c>
      <c r="X1223" t="inlineStr">
        <is>
          <t>2004-08-02</t>
        </is>
      </c>
      <c r="Y1223" t="inlineStr">
        <is>
          <t>2004-08-02</t>
        </is>
      </c>
      <c r="Z1223" t="inlineStr">
        <is>
          <t>2004-08-02</t>
        </is>
      </c>
      <c r="AA1223" t="n">
        <v>34</v>
      </c>
      <c r="AB1223" t="n">
        <v>25</v>
      </c>
      <c r="AC1223" t="n">
        <v>27</v>
      </c>
      <c r="AD1223" t="n">
        <v>1</v>
      </c>
      <c r="AE1223" t="n">
        <v>1</v>
      </c>
      <c r="AF1223" t="n">
        <v>1</v>
      </c>
      <c r="AG1223" t="n">
        <v>1</v>
      </c>
      <c r="AH1223" t="n">
        <v>0</v>
      </c>
      <c r="AI1223" t="n">
        <v>0</v>
      </c>
      <c r="AJ1223" t="n">
        <v>1</v>
      </c>
      <c r="AK1223" t="n">
        <v>1</v>
      </c>
      <c r="AL1223" t="n">
        <v>1</v>
      </c>
      <c r="AM1223" t="n">
        <v>1</v>
      </c>
      <c r="AN1223" t="n">
        <v>0</v>
      </c>
      <c r="AO1223" t="n">
        <v>0</v>
      </c>
      <c r="AP1223" t="n">
        <v>0</v>
      </c>
      <c r="AQ1223" t="n">
        <v>0</v>
      </c>
      <c r="AR1223" t="inlineStr">
        <is>
          <t>No</t>
        </is>
      </c>
      <c r="AS1223" t="inlineStr">
        <is>
          <t>Yes</t>
        </is>
      </c>
      <c r="AT1223">
        <f>HYPERLINK("http://catalog.hathitrust.org/Record/101163821","HathiTrust Record")</f>
        <v/>
      </c>
      <c r="AU1223">
        <f>HYPERLINK("https://creighton-primo.hosted.exlibrisgroup.com/primo-explore/search?tab=default_tab&amp;search_scope=EVERYTHING&amp;vid=01CRU&amp;lang=en_US&amp;offset=0&amp;query=any,contains,991004332149702656","Catalog Record")</f>
        <v/>
      </c>
      <c r="AV1223">
        <f>HYPERLINK("http://www.worldcat.org/oclc/18985458","WorldCat Record")</f>
        <v/>
      </c>
      <c r="AW1223" t="inlineStr">
        <is>
          <t>19078197:spa</t>
        </is>
      </c>
      <c r="AX1223" t="inlineStr">
        <is>
          <t>18985458</t>
        </is>
      </c>
      <c r="AY1223" t="inlineStr">
        <is>
          <t>991004332149702656</t>
        </is>
      </c>
      <c r="AZ1223" t="inlineStr">
        <is>
          <t>991004332149702656</t>
        </is>
      </c>
      <c r="BA1223" t="inlineStr">
        <is>
          <t>2267847900002656</t>
        </is>
      </c>
      <c r="BB1223" t="inlineStr">
        <is>
          <t>BOOK</t>
        </is>
      </c>
      <c r="BD1223" t="inlineStr">
        <is>
          <t>9789802140220</t>
        </is>
      </c>
      <c r="BE1223" t="inlineStr">
        <is>
          <t>32285004927090</t>
        </is>
      </c>
      <c r="BF1223" t="inlineStr">
        <is>
          <t>893810471</t>
        </is>
      </c>
    </row>
    <row r="1224">
      <c r="A1224" t="inlineStr">
        <is>
          <t>No</t>
        </is>
      </c>
      <c r="B1224" t="inlineStr">
        <is>
          <t>CURAL</t>
        </is>
      </c>
      <c r="C1224" t="inlineStr">
        <is>
          <t>SHELVES</t>
        </is>
      </c>
      <c r="D1224" t="inlineStr">
        <is>
          <t>PQ8549.B3 Z654 1978</t>
        </is>
      </c>
      <c r="E1224" t="inlineStr">
        <is>
          <t>0                      PQ 8549000B  3                  Z  654         1978</t>
        </is>
      </c>
      <c r="F1224" t="inlineStr">
        <is>
          <t>Los antepasados de Bello / David W. Fernández.</t>
        </is>
      </c>
      <c r="H1224" t="inlineStr">
        <is>
          <t>No</t>
        </is>
      </c>
      <c r="I1224" t="inlineStr">
        <is>
          <t>1</t>
        </is>
      </c>
      <c r="J1224" t="inlineStr">
        <is>
          <t>No</t>
        </is>
      </c>
      <c r="K1224" t="inlineStr">
        <is>
          <t>No</t>
        </is>
      </c>
      <c r="L1224" t="inlineStr">
        <is>
          <t>0</t>
        </is>
      </c>
      <c r="M1224" t="inlineStr">
        <is>
          <t>Fernández, David W.</t>
        </is>
      </c>
      <c r="N1224" t="inlineStr">
        <is>
          <t>Caracas : La Casa de Bello, 1978.</t>
        </is>
      </c>
      <c r="O1224" t="inlineStr">
        <is>
          <t>1978</t>
        </is>
      </c>
      <c r="Q1224" t="inlineStr">
        <is>
          <t>spa</t>
        </is>
      </c>
      <c r="R1224" t="inlineStr">
        <is>
          <t xml:space="preserve">ve </t>
        </is>
      </c>
      <c r="T1224" t="inlineStr">
        <is>
          <t xml:space="preserve">PQ </t>
        </is>
      </c>
      <c r="U1224" t="n">
        <v>1</v>
      </c>
      <c r="V1224" t="n">
        <v>1</v>
      </c>
      <c r="W1224" t="inlineStr">
        <is>
          <t>2002-05-13</t>
        </is>
      </c>
      <c r="X1224" t="inlineStr">
        <is>
          <t>2002-05-13</t>
        </is>
      </c>
      <c r="Y1224" t="inlineStr">
        <is>
          <t>2002-05-01</t>
        </is>
      </c>
      <c r="Z1224" t="inlineStr">
        <is>
          <t>2002-05-01</t>
        </is>
      </c>
      <c r="AA1224" t="n">
        <v>47</v>
      </c>
      <c r="AB1224" t="n">
        <v>36</v>
      </c>
      <c r="AC1224" t="n">
        <v>48</v>
      </c>
      <c r="AD1224" t="n">
        <v>1</v>
      </c>
      <c r="AE1224" t="n">
        <v>1</v>
      </c>
      <c r="AF1224" t="n">
        <v>1</v>
      </c>
      <c r="AG1224" t="n">
        <v>1</v>
      </c>
      <c r="AH1224" t="n">
        <v>0</v>
      </c>
      <c r="AI1224" t="n">
        <v>0</v>
      </c>
      <c r="AJ1224" t="n">
        <v>0</v>
      </c>
      <c r="AK1224" t="n">
        <v>0</v>
      </c>
      <c r="AL1224" t="n">
        <v>1</v>
      </c>
      <c r="AM1224" t="n">
        <v>1</v>
      </c>
      <c r="AN1224" t="n">
        <v>0</v>
      </c>
      <c r="AO1224" t="n">
        <v>0</v>
      </c>
      <c r="AP1224" t="n">
        <v>0</v>
      </c>
      <c r="AQ1224" t="n">
        <v>0</v>
      </c>
      <c r="AR1224" t="inlineStr">
        <is>
          <t>No</t>
        </is>
      </c>
      <c r="AS1224" t="inlineStr">
        <is>
          <t>Yes</t>
        </is>
      </c>
      <c r="AT1224">
        <f>HYPERLINK("http://catalog.hathitrust.org/Record/101163825","HathiTrust Record")</f>
        <v/>
      </c>
      <c r="AU1224">
        <f>HYPERLINK("https://creighton-primo.hosted.exlibrisgroup.com/primo-explore/search?tab=default_tab&amp;search_scope=EVERYTHING&amp;vid=01CRU&amp;lang=en_US&amp;offset=0&amp;query=any,contains,991003803429702656","Catalog Record")</f>
        <v/>
      </c>
      <c r="AV1224">
        <f>HYPERLINK("http://www.worldcat.org/oclc/8518817","WorldCat Record")</f>
        <v/>
      </c>
      <c r="AW1224" t="inlineStr">
        <is>
          <t>470649753:spa</t>
        </is>
      </c>
      <c r="AX1224" t="inlineStr">
        <is>
          <t>8518817</t>
        </is>
      </c>
      <c r="AY1224" t="inlineStr">
        <is>
          <t>991003803429702656</t>
        </is>
      </c>
      <c r="AZ1224" t="inlineStr">
        <is>
          <t>991003803429702656</t>
        </is>
      </c>
      <c r="BA1224" t="inlineStr">
        <is>
          <t>2260387530002656</t>
        </is>
      </c>
      <c r="BB1224" t="inlineStr">
        <is>
          <t>BOOK</t>
        </is>
      </c>
      <c r="BE1224" t="inlineStr">
        <is>
          <t>32285004485396</t>
        </is>
      </c>
      <c r="BF1224" t="inlineStr">
        <is>
          <t>893686994</t>
        </is>
      </c>
    </row>
    <row r="1225">
      <c r="A1225" t="inlineStr">
        <is>
          <t>No</t>
        </is>
      </c>
      <c r="B1225" t="inlineStr">
        <is>
          <t>CURAL</t>
        </is>
      </c>
      <c r="C1225" t="inlineStr">
        <is>
          <t>SHELVES</t>
        </is>
      </c>
      <c r="D1225" t="inlineStr">
        <is>
          <t>PQ8549.B3 Z6576 1978</t>
        </is>
      </c>
      <c r="E1225" t="inlineStr">
        <is>
          <t>0                      PQ 8549000B  3                  Z  6576        1978</t>
        </is>
      </c>
      <c r="F1225" t="inlineStr">
        <is>
          <t>El Grado de bachiller en artes de Andrés Bello.</t>
        </is>
      </c>
      <c r="H1225" t="inlineStr">
        <is>
          <t>No</t>
        </is>
      </c>
      <c r="I1225" t="inlineStr">
        <is>
          <t>1</t>
        </is>
      </c>
      <c r="J1225" t="inlineStr">
        <is>
          <t>No</t>
        </is>
      </c>
      <c r="K1225" t="inlineStr">
        <is>
          <t>No</t>
        </is>
      </c>
      <c r="L1225" t="inlineStr">
        <is>
          <t>0</t>
        </is>
      </c>
      <c r="N1225" t="inlineStr">
        <is>
          <t>Caracas : La Casa de Bello, 1978.</t>
        </is>
      </c>
      <c r="O1225" t="inlineStr">
        <is>
          <t>1978</t>
        </is>
      </c>
      <c r="Q1225" t="inlineStr">
        <is>
          <t>spa</t>
        </is>
      </c>
      <c r="R1225" t="inlineStr">
        <is>
          <t xml:space="preserve">ve </t>
        </is>
      </c>
      <c r="T1225" t="inlineStr">
        <is>
          <t xml:space="preserve">PQ </t>
        </is>
      </c>
      <c r="U1225" t="n">
        <v>1</v>
      </c>
      <c r="V1225" t="n">
        <v>1</v>
      </c>
      <c r="W1225" t="inlineStr">
        <is>
          <t>2002-09-24</t>
        </is>
      </c>
      <c r="X1225" t="inlineStr">
        <is>
          <t>2002-09-24</t>
        </is>
      </c>
      <c r="Y1225" t="inlineStr">
        <is>
          <t>2002-09-24</t>
        </is>
      </c>
      <c r="Z1225" t="inlineStr">
        <is>
          <t>2002-09-24</t>
        </is>
      </c>
      <c r="AA1225" t="n">
        <v>48</v>
      </c>
      <c r="AB1225" t="n">
        <v>40</v>
      </c>
      <c r="AC1225" t="n">
        <v>40</v>
      </c>
      <c r="AD1225" t="n">
        <v>1</v>
      </c>
      <c r="AE1225" t="n">
        <v>1</v>
      </c>
      <c r="AF1225" t="n">
        <v>2</v>
      </c>
      <c r="AG1225" t="n">
        <v>2</v>
      </c>
      <c r="AH1225" t="n">
        <v>1</v>
      </c>
      <c r="AI1225" t="n">
        <v>1</v>
      </c>
      <c r="AJ1225" t="n">
        <v>0</v>
      </c>
      <c r="AK1225" t="n">
        <v>0</v>
      </c>
      <c r="AL1225" t="n">
        <v>2</v>
      </c>
      <c r="AM1225" t="n">
        <v>2</v>
      </c>
      <c r="AN1225" t="n">
        <v>0</v>
      </c>
      <c r="AO1225" t="n">
        <v>0</v>
      </c>
      <c r="AP1225" t="n">
        <v>0</v>
      </c>
      <c r="AQ1225" t="n">
        <v>0</v>
      </c>
      <c r="AR1225" t="inlineStr">
        <is>
          <t>No</t>
        </is>
      </c>
      <c r="AS1225" t="inlineStr">
        <is>
          <t>No</t>
        </is>
      </c>
      <c r="AU1225">
        <f>HYPERLINK("https://creighton-primo.hosted.exlibrisgroup.com/primo-explore/search?tab=default_tab&amp;search_scope=EVERYTHING&amp;vid=01CRU&amp;lang=en_US&amp;offset=0&amp;query=any,contains,991003894399702656","Catalog Record")</f>
        <v/>
      </c>
      <c r="AV1225">
        <f>HYPERLINK("http://www.worldcat.org/oclc/5566105","WorldCat Record")</f>
        <v/>
      </c>
      <c r="AW1225" t="inlineStr">
        <is>
          <t>425944120:spa</t>
        </is>
      </c>
      <c r="AX1225" t="inlineStr">
        <is>
          <t>5566105</t>
        </is>
      </c>
      <c r="AY1225" t="inlineStr">
        <is>
          <t>991003894399702656</t>
        </is>
      </c>
      <c r="AZ1225" t="inlineStr">
        <is>
          <t>991003894399702656</t>
        </is>
      </c>
      <c r="BA1225" t="inlineStr">
        <is>
          <t>2266493530002656</t>
        </is>
      </c>
      <c r="BB1225" t="inlineStr">
        <is>
          <t>BOOK</t>
        </is>
      </c>
      <c r="BE1225" t="inlineStr">
        <is>
          <t>32285004649116</t>
        </is>
      </c>
      <c r="BF1225" t="inlineStr">
        <is>
          <t>893499852</t>
        </is>
      </c>
    </row>
    <row r="1226">
      <c r="A1226" t="inlineStr">
        <is>
          <t>No</t>
        </is>
      </c>
      <c r="B1226" t="inlineStr">
        <is>
          <t>CURAL</t>
        </is>
      </c>
      <c r="C1226" t="inlineStr">
        <is>
          <t>SHELVES</t>
        </is>
      </c>
      <c r="D1226" t="inlineStr">
        <is>
          <t>PQ8549.B3 Z667 1979</t>
        </is>
      </c>
      <c r="E1226" t="inlineStr">
        <is>
          <t>0                      PQ 8549000B  3                  Z  667         1979</t>
        </is>
      </c>
      <c r="F1226" t="inlineStr">
        <is>
          <t>El Helechal, posesión rural de los Bello.</t>
        </is>
      </c>
      <c r="H1226" t="inlineStr">
        <is>
          <t>No</t>
        </is>
      </c>
      <c r="I1226" t="inlineStr">
        <is>
          <t>1</t>
        </is>
      </c>
      <c r="J1226" t="inlineStr">
        <is>
          <t>No</t>
        </is>
      </c>
      <c r="K1226" t="inlineStr">
        <is>
          <t>No</t>
        </is>
      </c>
      <c r="L1226" t="inlineStr">
        <is>
          <t>0</t>
        </is>
      </c>
      <c r="N1226" t="inlineStr">
        <is>
          <t>Caracas : Casa de Bello, 1979.</t>
        </is>
      </c>
      <c r="O1226" t="inlineStr">
        <is>
          <t>1979</t>
        </is>
      </c>
      <c r="Q1226" t="inlineStr">
        <is>
          <t>spa</t>
        </is>
      </c>
      <c r="R1226" t="inlineStr">
        <is>
          <t xml:space="preserve">ve </t>
        </is>
      </c>
      <c r="T1226" t="inlineStr">
        <is>
          <t xml:space="preserve">PQ </t>
        </is>
      </c>
      <c r="U1226" t="n">
        <v>1</v>
      </c>
      <c r="V1226" t="n">
        <v>1</v>
      </c>
      <c r="W1226" t="inlineStr">
        <is>
          <t>2002-05-22</t>
        </is>
      </c>
      <c r="X1226" t="inlineStr">
        <is>
          <t>2002-05-22</t>
        </is>
      </c>
      <c r="Y1226" t="inlineStr">
        <is>
          <t>2002-05-16</t>
        </is>
      </c>
      <c r="Z1226" t="inlineStr">
        <is>
          <t>2002-05-16</t>
        </is>
      </c>
      <c r="AA1226" t="n">
        <v>57</v>
      </c>
      <c r="AB1226" t="n">
        <v>44</v>
      </c>
      <c r="AC1226" t="n">
        <v>45</v>
      </c>
      <c r="AD1226" t="n">
        <v>1</v>
      </c>
      <c r="AE1226" t="n">
        <v>1</v>
      </c>
      <c r="AF1226" t="n">
        <v>2</v>
      </c>
      <c r="AG1226" t="n">
        <v>2</v>
      </c>
      <c r="AH1226" t="n">
        <v>1</v>
      </c>
      <c r="AI1226" t="n">
        <v>1</v>
      </c>
      <c r="AJ1226" t="n">
        <v>0</v>
      </c>
      <c r="AK1226" t="n">
        <v>0</v>
      </c>
      <c r="AL1226" t="n">
        <v>2</v>
      </c>
      <c r="AM1226" t="n">
        <v>2</v>
      </c>
      <c r="AN1226" t="n">
        <v>0</v>
      </c>
      <c r="AO1226" t="n">
        <v>0</v>
      </c>
      <c r="AP1226" t="n">
        <v>0</v>
      </c>
      <c r="AQ1226" t="n">
        <v>0</v>
      </c>
      <c r="AR1226" t="inlineStr">
        <is>
          <t>No</t>
        </is>
      </c>
      <c r="AS1226" t="inlineStr">
        <is>
          <t>Yes</t>
        </is>
      </c>
      <c r="AT1226">
        <f>HYPERLINK("http://catalog.hathitrust.org/Record/007876451","HathiTrust Record")</f>
        <v/>
      </c>
      <c r="AU1226">
        <f>HYPERLINK("https://creighton-primo.hosted.exlibrisgroup.com/primo-explore/search?tab=default_tab&amp;search_scope=EVERYTHING&amp;vid=01CRU&amp;lang=en_US&amp;offset=0&amp;query=any,contains,991003810759702656","Catalog Record")</f>
        <v/>
      </c>
      <c r="AV1226">
        <f>HYPERLINK("http://www.worldcat.org/oclc/5566190","WorldCat Record")</f>
        <v/>
      </c>
      <c r="AW1226" t="inlineStr">
        <is>
          <t>368426813:spa</t>
        </is>
      </c>
      <c r="AX1226" t="inlineStr">
        <is>
          <t>5566190</t>
        </is>
      </c>
      <c r="AY1226" t="inlineStr">
        <is>
          <t>991003810759702656</t>
        </is>
      </c>
      <c r="AZ1226" t="inlineStr">
        <is>
          <t>991003810759702656</t>
        </is>
      </c>
      <c r="BA1226" t="inlineStr">
        <is>
          <t>2266583280002656</t>
        </is>
      </c>
      <c r="BB1226" t="inlineStr">
        <is>
          <t>BOOK</t>
        </is>
      </c>
      <c r="BE1226" t="inlineStr">
        <is>
          <t>32285004489067</t>
        </is>
      </c>
      <c r="BF1226" t="inlineStr">
        <is>
          <t>893775223</t>
        </is>
      </c>
    </row>
    <row r="1227">
      <c r="A1227" t="inlineStr">
        <is>
          <t>No</t>
        </is>
      </c>
      <c r="B1227" t="inlineStr">
        <is>
          <t>CURAL</t>
        </is>
      </c>
      <c r="C1227" t="inlineStr">
        <is>
          <t>SHELVES</t>
        </is>
      </c>
      <c r="D1227" t="inlineStr">
        <is>
          <t>PQ8549.B3 Z73 1978</t>
        </is>
      </c>
      <c r="E1227" t="inlineStr">
        <is>
          <t>0                      PQ 8549000B  3                  Z  73          1978</t>
        </is>
      </c>
      <c r="F1227" t="inlineStr">
        <is>
          <t>Libros de Bello editados en Caracas en el siglo XIX / Pedro Grases.</t>
        </is>
      </c>
      <c r="H1227" t="inlineStr">
        <is>
          <t>No</t>
        </is>
      </c>
      <c r="I1227" t="inlineStr">
        <is>
          <t>1</t>
        </is>
      </c>
      <c r="J1227" t="inlineStr">
        <is>
          <t>No</t>
        </is>
      </c>
      <c r="K1227" t="inlineStr">
        <is>
          <t>No</t>
        </is>
      </c>
      <c r="L1227" t="inlineStr">
        <is>
          <t>0</t>
        </is>
      </c>
      <c r="M1227" t="inlineStr">
        <is>
          <t>Grases, Pedro, 1909-2004.</t>
        </is>
      </c>
      <c r="N1227" t="inlineStr">
        <is>
          <t>Caracas : Casa de Bello, 1978.</t>
        </is>
      </c>
      <c r="O1227" t="inlineStr">
        <is>
          <t>1978</t>
        </is>
      </c>
      <c r="Q1227" t="inlineStr">
        <is>
          <t>spa</t>
        </is>
      </c>
      <c r="R1227" t="inlineStr">
        <is>
          <t xml:space="preserve">ve </t>
        </is>
      </c>
      <c r="T1227" t="inlineStr">
        <is>
          <t xml:space="preserve">PQ </t>
        </is>
      </c>
      <c r="U1227" t="n">
        <v>1</v>
      </c>
      <c r="V1227" t="n">
        <v>1</v>
      </c>
      <c r="W1227" t="inlineStr">
        <is>
          <t>2002-09-24</t>
        </is>
      </c>
      <c r="X1227" t="inlineStr">
        <is>
          <t>2002-09-24</t>
        </is>
      </c>
      <c r="Y1227" t="inlineStr">
        <is>
          <t>2002-09-24</t>
        </is>
      </c>
      <c r="Z1227" t="inlineStr">
        <is>
          <t>2002-09-24</t>
        </is>
      </c>
      <c r="AA1227" t="n">
        <v>67</v>
      </c>
      <c r="AB1227" t="n">
        <v>52</v>
      </c>
      <c r="AC1227" t="n">
        <v>63</v>
      </c>
      <c r="AD1227" t="n">
        <v>1</v>
      </c>
      <c r="AE1227" t="n">
        <v>1</v>
      </c>
      <c r="AF1227" t="n">
        <v>2</v>
      </c>
      <c r="AG1227" t="n">
        <v>2</v>
      </c>
      <c r="AH1227" t="n">
        <v>0</v>
      </c>
      <c r="AI1227" t="n">
        <v>0</v>
      </c>
      <c r="AJ1227" t="n">
        <v>1</v>
      </c>
      <c r="AK1227" t="n">
        <v>1</v>
      </c>
      <c r="AL1227" t="n">
        <v>2</v>
      </c>
      <c r="AM1227" t="n">
        <v>2</v>
      </c>
      <c r="AN1227" t="n">
        <v>0</v>
      </c>
      <c r="AO1227" t="n">
        <v>0</v>
      </c>
      <c r="AP1227" t="n">
        <v>0</v>
      </c>
      <c r="AQ1227" t="n">
        <v>0</v>
      </c>
      <c r="AR1227" t="inlineStr">
        <is>
          <t>No</t>
        </is>
      </c>
      <c r="AS1227" t="inlineStr">
        <is>
          <t>Yes</t>
        </is>
      </c>
      <c r="AT1227">
        <f>HYPERLINK("http://catalog.hathitrust.org/Record/006716743","HathiTrust Record")</f>
        <v/>
      </c>
      <c r="AU1227">
        <f>HYPERLINK("https://creighton-primo.hosted.exlibrisgroup.com/primo-explore/search?tab=default_tab&amp;search_scope=EVERYTHING&amp;vid=01CRU&amp;lang=en_US&amp;offset=0&amp;query=any,contains,991003894299702656","Catalog Record")</f>
        <v/>
      </c>
      <c r="AV1227">
        <f>HYPERLINK("http://www.worldcat.org/oclc/5727638","WorldCat Record")</f>
        <v/>
      </c>
      <c r="AW1227" t="inlineStr">
        <is>
          <t>19918753:spa</t>
        </is>
      </c>
      <c r="AX1227" t="inlineStr">
        <is>
          <t>5727638</t>
        </is>
      </c>
      <c r="AY1227" t="inlineStr">
        <is>
          <t>991003894299702656</t>
        </is>
      </c>
      <c r="AZ1227" t="inlineStr">
        <is>
          <t>991003894299702656</t>
        </is>
      </c>
      <c r="BA1227" t="inlineStr">
        <is>
          <t>2263770870002656</t>
        </is>
      </c>
      <c r="BB1227" t="inlineStr">
        <is>
          <t>BOOK</t>
        </is>
      </c>
      <c r="BE1227" t="inlineStr">
        <is>
          <t>32285004649108</t>
        </is>
      </c>
      <c r="BF1227" t="inlineStr">
        <is>
          <t>893881791</t>
        </is>
      </c>
    </row>
    <row r="1228">
      <c r="A1228" t="inlineStr">
        <is>
          <t>No</t>
        </is>
      </c>
      <c r="B1228" t="inlineStr">
        <is>
          <t>CURAL</t>
        </is>
      </c>
      <c r="C1228" t="inlineStr">
        <is>
          <t>SHELVES</t>
        </is>
      </c>
      <c r="D1228" t="inlineStr">
        <is>
          <t>PQ8549.B3 Z787 1969</t>
        </is>
      </c>
      <c r="E1228" t="inlineStr">
        <is>
          <t>0                      PQ 8549000B  3                  Z  787         1969</t>
        </is>
      </c>
      <c r="F1228" t="inlineStr">
        <is>
          <t>El otro Andrés Bello / Emir Rodríguez Monegal.</t>
        </is>
      </c>
      <c r="H1228" t="inlineStr">
        <is>
          <t>No</t>
        </is>
      </c>
      <c r="I1228" t="inlineStr">
        <is>
          <t>1</t>
        </is>
      </c>
      <c r="J1228" t="inlineStr">
        <is>
          <t>No</t>
        </is>
      </c>
      <c r="K1228" t="inlineStr">
        <is>
          <t>No</t>
        </is>
      </c>
      <c r="L1228" t="inlineStr">
        <is>
          <t>0</t>
        </is>
      </c>
      <c r="M1228" t="inlineStr">
        <is>
          <t>Rodríguez Monegal, Emir.</t>
        </is>
      </c>
      <c r="N1228" t="inlineStr">
        <is>
          <t>Caracas : Monte Avila Editores, [1969]</t>
        </is>
      </c>
      <c r="O1228" t="inlineStr">
        <is>
          <t>1969</t>
        </is>
      </c>
      <c r="Q1228" t="inlineStr">
        <is>
          <t>spa</t>
        </is>
      </c>
      <c r="R1228" t="inlineStr">
        <is>
          <t xml:space="preserve">ve </t>
        </is>
      </c>
      <c r="S1228" t="inlineStr">
        <is>
          <t>Colección Prisma</t>
        </is>
      </c>
      <c r="T1228" t="inlineStr">
        <is>
          <t xml:space="preserve">PQ </t>
        </is>
      </c>
      <c r="U1228" t="n">
        <v>1</v>
      </c>
      <c r="V1228" t="n">
        <v>1</v>
      </c>
      <c r="W1228" t="inlineStr">
        <is>
          <t>2004-08-05</t>
        </is>
      </c>
      <c r="X1228" t="inlineStr">
        <is>
          <t>2004-08-05</t>
        </is>
      </c>
      <c r="Y1228" t="inlineStr">
        <is>
          <t>2004-08-05</t>
        </is>
      </c>
      <c r="Z1228" t="inlineStr">
        <is>
          <t>2004-08-05</t>
        </is>
      </c>
      <c r="AA1228" t="n">
        <v>217</v>
      </c>
      <c r="AB1228" t="n">
        <v>171</v>
      </c>
      <c r="AC1228" t="n">
        <v>173</v>
      </c>
      <c r="AD1228" t="n">
        <v>3</v>
      </c>
      <c r="AE1228" t="n">
        <v>3</v>
      </c>
      <c r="AF1228" t="n">
        <v>8</v>
      </c>
      <c r="AG1228" t="n">
        <v>8</v>
      </c>
      <c r="AH1228" t="n">
        <v>0</v>
      </c>
      <c r="AI1228" t="n">
        <v>0</v>
      </c>
      <c r="AJ1228" t="n">
        <v>3</v>
      </c>
      <c r="AK1228" t="n">
        <v>3</v>
      </c>
      <c r="AL1228" t="n">
        <v>4</v>
      </c>
      <c r="AM1228" t="n">
        <v>4</v>
      </c>
      <c r="AN1228" t="n">
        <v>2</v>
      </c>
      <c r="AO1228" t="n">
        <v>2</v>
      </c>
      <c r="AP1228" t="n">
        <v>0</v>
      </c>
      <c r="AQ1228" t="n">
        <v>0</v>
      </c>
      <c r="AR1228" t="inlineStr">
        <is>
          <t>No</t>
        </is>
      </c>
      <c r="AS1228" t="inlineStr">
        <is>
          <t>Yes</t>
        </is>
      </c>
      <c r="AT1228">
        <f>HYPERLINK("http://catalog.hathitrust.org/Record/001037182","HathiTrust Record")</f>
        <v/>
      </c>
      <c r="AU1228">
        <f>HYPERLINK("https://creighton-primo.hosted.exlibrisgroup.com/primo-explore/search?tab=default_tab&amp;search_scope=EVERYTHING&amp;vid=01CRU&amp;lang=en_US&amp;offset=0&amp;query=any,contains,991004339029702656","Catalog Record")</f>
        <v/>
      </c>
      <c r="AV1228">
        <f>HYPERLINK("http://www.worldcat.org/oclc/1004516","WorldCat Record")</f>
        <v/>
      </c>
      <c r="AW1228" t="inlineStr">
        <is>
          <t>365548706:spa</t>
        </is>
      </c>
      <c r="AX1228" t="inlineStr">
        <is>
          <t>1004516</t>
        </is>
      </c>
      <c r="AY1228" t="inlineStr">
        <is>
          <t>991004339029702656</t>
        </is>
      </c>
      <c r="AZ1228" t="inlineStr">
        <is>
          <t>991004339029702656</t>
        </is>
      </c>
      <c r="BA1228" t="inlineStr">
        <is>
          <t>2254738630002656</t>
        </is>
      </c>
      <c r="BB1228" t="inlineStr">
        <is>
          <t>BOOK</t>
        </is>
      </c>
      <c r="BE1228" t="inlineStr">
        <is>
          <t>32285004929518</t>
        </is>
      </c>
      <c r="BF1228" t="inlineStr">
        <is>
          <t>893612232</t>
        </is>
      </c>
    </row>
    <row r="1229">
      <c r="A1229" t="inlineStr">
        <is>
          <t>No</t>
        </is>
      </c>
      <c r="B1229" t="inlineStr">
        <is>
          <t>CURAL</t>
        </is>
      </c>
      <c r="C1229" t="inlineStr">
        <is>
          <t>SHELVES</t>
        </is>
      </c>
      <c r="D1229" t="inlineStr">
        <is>
          <t>PQ8549.B32 A6 1993</t>
        </is>
      </c>
      <c r="E1229" t="inlineStr">
        <is>
          <t>0                      PQ 8549000B  32                 A  6           1993</t>
        </is>
      </c>
      <c r="F1229" t="inlineStr">
        <is>
          <t>Ensayos y poesías / Luis Beltrán Guerrero ; selección, prólogo y cronología, Juandemaro Querales ; bibliografía, Juandemaro Querales y Horacio Jorge Becco.</t>
        </is>
      </c>
      <c r="H1229" t="inlineStr">
        <is>
          <t>No</t>
        </is>
      </c>
      <c r="I1229" t="inlineStr">
        <is>
          <t>1</t>
        </is>
      </c>
      <c r="J1229" t="inlineStr">
        <is>
          <t>No</t>
        </is>
      </c>
      <c r="K1229" t="inlineStr">
        <is>
          <t>No</t>
        </is>
      </c>
      <c r="L1229" t="inlineStr">
        <is>
          <t>0</t>
        </is>
      </c>
      <c r="M1229" t="inlineStr">
        <is>
          <t>Beltrán Guerrero, Luis, 1914-1997.</t>
        </is>
      </c>
      <c r="N1229" t="inlineStr">
        <is>
          <t>Caracas, Venezuela : Biblioteca Ayacucho, c1993.</t>
        </is>
      </c>
      <c r="O1229" t="inlineStr">
        <is>
          <t>1993</t>
        </is>
      </c>
      <c r="Q1229" t="inlineStr">
        <is>
          <t>spa</t>
        </is>
      </c>
      <c r="R1229" t="inlineStr">
        <is>
          <t xml:space="preserve">ve </t>
        </is>
      </c>
      <c r="S1229" t="inlineStr">
        <is>
          <t>Biblioteca Ayacucho ; 192</t>
        </is>
      </c>
      <c r="T1229" t="inlineStr">
        <is>
          <t xml:space="preserve">PQ </t>
        </is>
      </c>
      <c r="U1229" t="n">
        <v>1</v>
      </c>
      <c r="V1229" t="n">
        <v>1</v>
      </c>
      <c r="W1229" t="inlineStr">
        <is>
          <t>2001-11-19</t>
        </is>
      </c>
      <c r="X1229" t="inlineStr">
        <is>
          <t>2001-11-19</t>
        </is>
      </c>
      <c r="Y1229" t="inlineStr">
        <is>
          <t>2001-11-19</t>
        </is>
      </c>
      <c r="Z1229" t="inlineStr">
        <is>
          <t>2001-11-19</t>
        </is>
      </c>
      <c r="AA1229" t="n">
        <v>72</v>
      </c>
      <c r="AB1229" t="n">
        <v>60</v>
      </c>
      <c r="AC1229" t="n">
        <v>64</v>
      </c>
      <c r="AD1229" t="n">
        <v>1</v>
      </c>
      <c r="AE1229" t="n">
        <v>1</v>
      </c>
      <c r="AF1229" t="n">
        <v>2</v>
      </c>
      <c r="AG1229" t="n">
        <v>2</v>
      </c>
      <c r="AH1229" t="n">
        <v>0</v>
      </c>
      <c r="AI1229" t="n">
        <v>0</v>
      </c>
      <c r="AJ1229" t="n">
        <v>2</v>
      </c>
      <c r="AK1229" t="n">
        <v>2</v>
      </c>
      <c r="AL1229" t="n">
        <v>1</v>
      </c>
      <c r="AM1229" t="n">
        <v>1</v>
      </c>
      <c r="AN1229" t="n">
        <v>0</v>
      </c>
      <c r="AO1229" t="n">
        <v>0</v>
      </c>
      <c r="AP1229" t="n">
        <v>0</v>
      </c>
      <c r="AQ1229" t="n">
        <v>0</v>
      </c>
      <c r="AR1229" t="inlineStr">
        <is>
          <t>No</t>
        </is>
      </c>
      <c r="AS1229" t="inlineStr">
        <is>
          <t>Yes</t>
        </is>
      </c>
      <c r="AT1229">
        <f>HYPERLINK("http://catalog.hathitrust.org/Record/101163862","HathiTrust Record")</f>
        <v/>
      </c>
      <c r="AU1229">
        <f>HYPERLINK("https://creighton-primo.hosted.exlibrisgroup.com/primo-explore/search?tab=default_tab&amp;search_scope=EVERYTHING&amp;vid=01CRU&amp;lang=en_US&amp;offset=0&amp;query=any,contains,991003681479702656","Catalog Record")</f>
        <v/>
      </c>
      <c r="AV1229">
        <f>HYPERLINK("http://www.worldcat.org/oclc/31918463","WorldCat Record")</f>
        <v/>
      </c>
      <c r="AW1229" t="inlineStr">
        <is>
          <t>232092677:spa</t>
        </is>
      </c>
      <c r="AX1229" t="inlineStr">
        <is>
          <t>31918463</t>
        </is>
      </c>
      <c r="AY1229" t="inlineStr">
        <is>
          <t>991003681479702656</t>
        </is>
      </c>
      <c r="AZ1229" t="inlineStr">
        <is>
          <t>991003681479702656</t>
        </is>
      </c>
      <c r="BA1229" t="inlineStr">
        <is>
          <t>2262734880002656</t>
        </is>
      </c>
      <c r="BB1229" t="inlineStr">
        <is>
          <t>BOOK</t>
        </is>
      </c>
      <c r="BD1229" t="inlineStr">
        <is>
          <t>9789802762347</t>
        </is>
      </c>
      <c r="BE1229" t="inlineStr">
        <is>
          <t>32285004412309</t>
        </is>
      </c>
      <c r="BF1229" t="inlineStr">
        <is>
          <t>893512241</t>
        </is>
      </c>
    </row>
    <row r="1230">
      <c r="A1230" t="inlineStr">
        <is>
          <t>No</t>
        </is>
      </c>
      <c r="B1230" t="inlineStr">
        <is>
          <t>CURAL</t>
        </is>
      </c>
      <c r="C1230" t="inlineStr">
        <is>
          <t>SHELVES</t>
        </is>
      </c>
      <c r="D1230" t="inlineStr">
        <is>
          <t>PQ8549.B44 Z9 1972</t>
        </is>
      </c>
      <c r="E1230" t="inlineStr">
        <is>
          <t>0                      PQ 8549000B  44                 Z  9           1972</t>
        </is>
      </c>
      <c r="F1230" t="inlineStr">
        <is>
          <t>Andres Bello / Rafael Caldera.</t>
        </is>
      </c>
      <c r="H1230" t="inlineStr">
        <is>
          <t>No</t>
        </is>
      </c>
      <c r="I1230" t="inlineStr">
        <is>
          <t>1</t>
        </is>
      </c>
      <c r="J1230" t="inlineStr">
        <is>
          <t>No</t>
        </is>
      </c>
      <c r="K1230" t="inlineStr">
        <is>
          <t>No</t>
        </is>
      </c>
      <c r="L1230" t="inlineStr">
        <is>
          <t>0</t>
        </is>
      </c>
      <c r="M1230" t="inlineStr">
        <is>
          <t>Caldera, Rafael, 1916-2009.</t>
        </is>
      </c>
      <c r="N1230" t="inlineStr">
        <is>
          <t>Caracas : Monte Avila, 1972.</t>
        </is>
      </c>
      <c r="O1230" t="inlineStr">
        <is>
          <t>1972</t>
        </is>
      </c>
      <c r="Q1230" t="inlineStr">
        <is>
          <t>spa</t>
        </is>
      </c>
      <c r="R1230" t="inlineStr">
        <is>
          <t xml:space="preserve">ve </t>
        </is>
      </c>
      <c r="S1230" t="inlineStr">
        <is>
          <t>Biblioteca popular Eldorado ; 63</t>
        </is>
      </c>
      <c r="T1230" t="inlineStr">
        <is>
          <t xml:space="preserve">PQ </t>
        </is>
      </c>
      <c r="U1230" t="n">
        <v>2</v>
      </c>
      <c r="V1230" t="n">
        <v>2</v>
      </c>
      <c r="W1230" t="inlineStr">
        <is>
          <t>2004-08-04</t>
        </is>
      </c>
      <c r="X1230" t="inlineStr">
        <is>
          <t>2004-08-04</t>
        </is>
      </c>
      <c r="Y1230" t="inlineStr">
        <is>
          <t>2004-08-04</t>
        </is>
      </c>
      <c r="Z1230" t="inlineStr">
        <is>
          <t>2004-08-04</t>
        </is>
      </c>
      <c r="AA1230" t="n">
        <v>23</v>
      </c>
      <c r="AB1230" t="n">
        <v>15</v>
      </c>
      <c r="AC1230" t="n">
        <v>138</v>
      </c>
      <c r="AD1230" t="n">
        <v>1</v>
      </c>
      <c r="AE1230" t="n">
        <v>2</v>
      </c>
      <c r="AF1230" t="n">
        <v>1</v>
      </c>
      <c r="AG1230" t="n">
        <v>9</v>
      </c>
      <c r="AH1230" t="n">
        <v>0</v>
      </c>
      <c r="AI1230" t="n">
        <v>1</v>
      </c>
      <c r="AJ1230" t="n">
        <v>1</v>
      </c>
      <c r="AK1230" t="n">
        <v>3</v>
      </c>
      <c r="AL1230" t="n">
        <v>0</v>
      </c>
      <c r="AM1230" t="n">
        <v>5</v>
      </c>
      <c r="AN1230" t="n">
        <v>0</v>
      </c>
      <c r="AO1230" t="n">
        <v>1</v>
      </c>
      <c r="AP1230" t="n">
        <v>0</v>
      </c>
      <c r="AQ1230" t="n">
        <v>1</v>
      </c>
      <c r="AR1230" t="inlineStr">
        <is>
          <t>No</t>
        </is>
      </c>
      <c r="AS1230" t="inlineStr">
        <is>
          <t>No</t>
        </is>
      </c>
      <c r="AU1230">
        <f>HYPERLINK("https://creighton-primo.hosted.exlibrisgroup.com/primo-explore/search?tab=default_tab&amp;search_scope=EVERYTHING&amp;vid=01CRU&amp;lang=en_US&amp;offset=0&amp;query=any,contains,991004337679702656","Catalog Record")</f>
        <v/>
      </c>
      <c r="AV1230">
        <f>HYPERLINK("http://www.worldcat.org/oclc/1849981","WorldCat Record")</f>
        <v/>
      </c>
      <c r="AW1230" t="inlineStr">
        <is>
          <t>369181775:spa</t>
        </is>
      </c>
      <c r="AX1230" t="inlineStr">
        <is>
          <t>1849981</t>
        </is>
      </c>
      <c r="AY1230" t="inlineStr">
        <is>
          <t>991004337679702656</t>
        </is>
      </c>
      <c r="AZ1230" t="inlineStr">
        <is>
          <t>991004337679702656</t>
        </is>
      </c>
      <c r="BA1230" t="inlineStr">
        <is>
          <t>2258042670002656</t>
        </is>
      </c>
      <c r="BB1230" t="inlineStr">
        <is>
          <t>BOOK</t>
        </is>
      </c>
      <c r="BE1230" t="inlineStr">
        <is>
          <t>32285004928130</t>
        </is>
      </c>
      <c r="BF1230" t="inlineStr">
        <is>
          <t>893888586</t>
        </is>
      </c>
    </row>
    <row r="1231">
      <c r="A1231" t="inlineStr">
        <is>
          <t>No</t>
        </is>
      </c>
      <c r="B1231" t="inlineStr">
        <is>
          <t>CURAL</t>
        </is>
      </c>
      <c r="C1231" t="inlineStr">
        <is>
          <t>SHELVES</t>
        </is>
      </c>
      <c r="D1231" t="inlineStr">
        <is>
          <t>PQ8549.B47 A17 1980</t>
        </is>
      </c>
      <c r="E1231" t="inlineStr">
        <is>
          <t>0                      PQ 8549000B  47                 A  17          1980</t>
        </is>
      </c>
      <c r="F1231" t="inlineStr">
        <is>
          <t>Poesía / Andrés Eloy Blanco ; pórtico, José Ramón Medina.</t>
        </is>
      </c>
      <c r="G1231" t="inlineStr">
        <is>
          <t>V. 1</t>
        </is>
      </c>
      <c r="H1231" t="inlineStr">
        <is>
          <t>Yes</t>
        </is>
      </c>
      <c r="I1231" t="inlineStr">
        <is>
          <t>1</t>
        </is>
      </c>
      <c r="J1231" t="inlineStr">
        <is>
          <t>No</t>
        </is>
      </c>
      <c r="K1231" t="inlineStr">
        <is>
          <t>No</t>
        </is>
      </c>
      <c r="L1231" t="inlineStr">
        <is>
          <t>0</t>
        </is>
      </c>
      <c r="M1231" t="inlineStr">
        <is>
          <t>Blanco, Andrés Eloy, 1898-1955.</t>
        </is>
      </c>
      <c r="N1231" t="inlineStr">
        <is>
          <t>Caracas, Venezuela : Ediciones Centauro, 1980-</t>
        </is>
      </c>
      <c r="O1231" t="inlineStr">
        <is>
          <t>1980</t>
        </is>
      </c>
      <c r="Q1231" t="inlineStr">
        <is>
          <t>spa</t>
        </is>
      </c>
      <c r="R1231" t="inlineStr">
        <is>
          <t xml:space="preserve">ve </t>
        </is>
      </c>
      <c r="T1231" t="inlineStr">
        <is>
          <t xml:space="preserve">PQ </t>
        </is>
      </c>
      <c r="U1231" t="n">
        <v>1</v>
      </c>
      <c r="V1231" t="n">
        <v>3</v>
      </c>
      <c r="W1231" t="inlineStr">
        <is>
          <t>2004-05-26</t>
        </is>
      </c>
      <c r="X1231" t="inlineStr">
        <is>
          <t>2004-05-26</t>
        </is>
      </c>
      <c r="Y1231" t="inlineStr">
        <is>
          <t>2004-05-26</t>
        </is>
      </c>
      <c r="Z1231" t="inlineStr">
        <is>
          <t>2004-05-26</t>
        </is>
      </c>
      <c r="AA1231" t="n">
        <v>30</v>
      </c>
      <c r="AB1231" t="n">
        <v>24</v>
      </c>
      <c r="AC1231" t="n">
        <v>26</v>
      </c>
      <c r="AD1231" t="n">
        <v>1</v>
      </c>
      <c r="AE1231" t="n">
        <v>1</v>
      </c>
      <c r="AF1231" t="n">
        <v>2</v>
      </c>
      <c r="AG1231" t="n">
        <v>2</v>
      </c>
      <c r="AH1231" t="n">
        <v>1</v>
      </c>
      <c r="AI1231" t="n">
        <v>1</v>
      </c>
      <c r="AJ1231" t="n">
        <v>1</v>
      </c>
      <c r="AK1231" t="n">
        <v>1</v>
      </c>
      <c r="AL1231" t="n">
        <v>1</v>
      </c>
      <c r="AM1231" t="n">
        <v>1</v>
      </c>
      <c r="AN1231" t="n">
        <v>0</v>
      </c>
      <c r="AO1231" t="n">
        <v>0</v>
      </c>
      <c r="AP1231" t="n">
        <v>0</v>
      </c>
      <c r="AQ1231" t="n">
        <v>0</v>
      </c>
      <c r="AR1231" t="inlineStr">
        <is>
          <t>No</t>
        </is>
      </c>
      <c r="AS1231" t="inlineStr">
        <is>
          <t>Yes</t>
        </is>
      </c>
      <c r="AT1231">
        <f>HYPERLINK("http://catalog.hathitrust.org/Record/007876545","HathiTrust Record")</f>
        <v/>
      </c>
      <c r="AU1231">
        <f>HYPERLINK("https://creighton-primo.hosted.exlibrisgroup.com/primo-explore/search?tab=default_tab&amp;search_scope=EVERYTHING&amp;vid=01CRU&amp;lang=en_US&amp;offset=0&amp;query=any,contains,991003802069702656","Catalog Record")</f>
        <v/>
      </c>
      <c r="AV1231">
        <f>HYPERLINK("http://www.worldcat.org/oclc/10457950","WorldCat Record")</f>
        <v/>
      </c>
      <c r="AW1231" t="inlineStr">
        <is>
          <t>3372183309:spa</t>
        </is>
      </c>
      <c r="AX1231" t="inlineStr">
        <is>
          <t>10457950</t>
        </is>
      </c>
      <c r="AY1231" t="inlineStr">
        <is>
          <t>991003802069702656</t>
        </is>
      </c>
      <c r="AZ1231" t="inlineStr">
        <is>
          <t>991003802069702656</t>
        </is>
      </c>
      <c r="BA1231" t="inlineStr">
        <is>
          <t>2265714890002656</t>
        </is>
      </c>
      <c r="BB1231" t="inlineStr">
        <is>
          <t>BOOK</t>
        </is>
      </c>
      <c r="BE1231" t="inlineStr">
        <is>
          <t>32285004907571</t>
        </is>
      </c>
      <c r="BF1231" t="inlineStr">
        <is>
          <t>893318425</t>
        </is>
      </c>
    </row>
    <row r="1232">
      <c r="A1232" t="inlineStr">
        <is>
          <t>No</t>
        </is>
      </c>
      <c r="B1232" t="inlineStr">
        <is>
          <t>CURAL</t>
        </is>
      </c>
      <c r="C1232" t="inlineStr">
        <is>
          <t>SHELVES</t>
        </is>
      </c>
      <c r="D1232" t="inlineStr">
        <is>
          <t>PQ8549.B47 A17 1980</t>
        </is>
      </c>
      <c r="E1232" t="inlineStr">
        <is>
          <t>0                      PQ 8549000B  47                 A  17          1980</t>
        </is>
      </c>
      <c r="F1232" t="inlineStr">
        <is>
          <t>Poesía / Andrés Eloy Blanco ; pórtico, José Ramón Medina.</t>
        </is>
      </c>
      <c r="G1232" t="inlineStr">
        <is>
          <t>V. 2</t>
        </is>
      </c>
      <c r="H1232" t="inlineStr">
        <is>
          <t>Yes</t>
        </is>
      </c>
      <c r="I1232" t="inlineStr">
        <is>
          <t>1</t>
        </is>
      </c>
      <c r="J1232" t="inlineStr">
        <is>
          <t>No</t>
        </is>
      </c>
      <c r="K1232" t="inlineStr">
        <is>
          <t>No</t>
        </is>
      </c>
      <c r="L1232" t="inlineStr">
        <is>
          <t>0</t>
        </is>
      </c>
      <c r="M1232" t="inlineStr">
        <is>
          <t>Blanco, Andrés Eloy, 1898-1955.</t>
        </is>
      </c>
      <c r="N1232" t="inlineStr">
        <is>
          <t>Caracas, Venezuela : Ediciones Centauro, 1980-</t>
        </is>
      </c>
      <c r="O1232" t="inlineStr">
        <is>
          <t>1980</t>
        </is>
      </c>
      <c r="Q1232" t="inlineStr">
        <is>
          <t>spa</t>
        </is>
      </c>
      <c r="R1232" t="inlineStr">
        <is>
          <t xml:space="preserve">ve </t>
        </is>
      </c>
      <c r="T1232" t="inlineStr">
        <is>
          <t xml:space="preserve">PQ </t>
        </is>
      </c>
      <c r="U1232" t="n">
        <v>1</v>
      </c>
      <c r="V1232" t="n">
        <v>3</v>
      </c>
      <c r="W1232" t="inlineStr">
        <is>
          <t>2002-05-08</t>
        </is>
      </c>
      <c r="X1232" t="inlineStr">
        <is>
          <t>2004-05-26</t>
        </is>
      </c>
      <c r="Y1232" t="inlineStr">
        <is>
          <t>2002-04-30</t>
        </is>
      </c>
      <c r="Z1232" t="inlineStr">
        <is>
          <t>2004-05-26</t>
        </is>
      </c>
      <c r="AA1232" t="n">
        <v>30</v>
      </c>
      <c r="AB1232" t="n">
        <v>24</v>
      </c>
      <c r="AC1232" t="n">
        <v>26</v>
      </c>
      <c r="AD1232" t="n">
        <v>1</v>
      </c>
      <c r="AE1232" t="n">
        <v>1</v>
      </c>
      <c r="AF1232" t="n">
        <v>2</v>
      </c>
      <c r="AG1232" t="n">
        <v>2</v>
      </c>
      <c r="AH1232" t="n">
        <v>1</v>
      </c>
      <c r="AI1232" t="n">
        <v>1</v>
      </c>
      <c r="AJ1232" t="n">
        <v>1</v>
      </c>
      <c r="AK1232" t="n">
        <v>1</v>
      </c>
      <c r="AL1232" t="n">
        <v>1</v>
      </c>
      <c r="AM1232" t="n">
        <v>1</v>
      </c>
      <c r="AN1232" t="n">
        <v>0</v>
      </c>
      <c r="AO1232" t="n">
        <v>0</v>
      </c>
      <c r="AP1232" t="n">
        <v>0</v>
      </c>
      <c r="AQ1232" t="n">
        <v>0</v>
      </c>
      <c r="AR1232" t="inlineStr">
        <is>
          <t>No</t>
        </is>
      </c>
      <c r="AS1232" t="inlineStr">
        <is>
          <t>Yes</t>
        </is>
      </c>
      <c r="AT1232">
        <f>HYPERLINK("http://catalog.hathitrust.org/Record/007876545","HathiTrust Record")</f>
        <v/>
      </c>
      <c r="AU1232">
        <f>HYPERLINK("https://creighton-primo.hosted.exlibrisgroup.com/primo-explore/search?tab=default_tab&amp;search_scope=EVERYTHING&amp;vid=01CRU&amp;lang=en_US&amp;offset=0&amp;query=any,contains,991003802069702656","Catalog Record")</f>
        <v/>
      </c>
      <c r="AV1232">
        <f>HYPERLINK("http://www.worldcat.org/oclc/10457950","WorldCat Record")</f>
        <v/>
      </c>
      <c r="AW1232" t="inlineStr">
        <is>
          <t>3372183309:spa</t>
        </is>
      </c>
      <c r="AX1232" t="inlineStr">
        <is>
          <t>10457950</t>
        </is>
      </c>
      <c r="AY1232" t="inlineStr">
        <is>
          <t>991003802069702656</t>
        </is>
      </c>
      <c r="AZ1232" t="inlineStr">
        <is>
          <t>991003802069702656</t>
        </is>
      </c>
      <c r="BA1232" t="inlineStr">
        <is>
          <t>2265714890002656</t>
        </is>
      </c>
      <c r="BB1232" t="inlineStr">
        <is>
          <t>BOOK</t>
        </is>
      </c>
      <c r="BE1232" t="inlineStr">
        <is>
          <t>32285004484373</t>
        </is>
      </c>
      <c r="BF1232" t="inlineStr">
        <is>
          <t>893330830</t>
        </is>
      </c>
    </row>
    <row r="1233">
      <c r="A1233" t="inlineStr">
        <is>
          <t>No</t>
        </is>
      </c>
      <c r="B1233" t="inlineStr">
        <is>
          <t>CURAL</t>
        </is>
      </c>
      <c r="C1233" t="inlineStr">
        <is>
          <t>SHELVES</t>
        </is>
      </c>
      <c r="D1233" t="inlineStr">
        <is>
          <t>PQ8549.B47 A17 1980</t>
        </is>
      </c>
      <c r="E1233" t="inlineStr">
        <is>
          <t>0                      PQ 8549000B  47                 A  17          1980</t>
        </is>
      </c>
      <c r="F1233" t="inlineStr">
        <is>
          <t>Poesía / Andrés Eloy Blanco ; pórtico, José Ramón Medina.</t>
        </is>
      </c>
      <c r="G1233" t="inlineStr">
        <is>
          <t>V. 3</t>
        </is>
      </c>
      <c r="H1233" t="inlineStr">
        <is>
          <t>Yes</t>
        </is>
      </c>
      <c r="I1233" t="inlineStr">
        <is>
          <t>1</t>
        </is>
      </c>
      <c r="J1233" t="inlineStr">
        <is>
          <t>No</t>
        </is>
      </c>
      <c r="K1233" t="inlineStr">
        <is>
          <t>No</t>
        </is>
      </c>
      <c r="L1233" t="inlineStr">
        <is>
          <t>0</t>
        </is>
      </c>
      <c r="M1233" t="inlineStr">
        <is>
          <t>Blanco, Andrés Eloy, 1898-1955.</t>
        </is>
      </c>
      <c r="N1233" t="inlineStr">
        <is>
          <t>Caracas, Venezuela : Ediciones Centauro, 1980-</t>
        </is>
      </c>
      <c r="O1233" t="inlineStr">
        <is>
          <t>1980</t>
        </is>
      </c>
      <c r="Q1233" t="inlineStr">
        <is>
          <t>spa</t>
        </is>
      </c>
      <c r="R1233" t="inlineStr">
        <is>
          <t xml:space="preserve">ve </t>
        </is>
      </c>
      <c r="T1233" t="inlineStr">
        <is>
          <t xml:space="preserve">PQ </t>
        </is>
      </c>
      <c r="U1233" t="n">
        <v>1</v>
      </c>
      <c r="V1233" t="n">
        <v>3</v>
      </c>
      <c r="W1233" t="inlineStr">
        <is>
          <t>2002-05-08</t>
        </is>
      </c>
      <c r="X1233" t="inlineStr">
        <is>
          <t>2004-05-26</t>
        </is>
      </c>
      <c r="Y1233" t="inlineStr">
        <is>
          <t>2002-04-30</t>
        </is>
      </c>
      <c r="Z1233" t="inlineStr">
        <is>
          <t>2004-05-26</t>
        </is>
      </c>
      <c r="AA1233" t="n">
        <v>30</v>
      </c>
      <c r="AB1233" t="n">
        <v>24</v>
      </c>
      <c r="AC1233" t="n">
        <v>26</v>
      </c>
      <c r="AD1233" t="n">
        <v>1</v>
      </c>
      <c r="AE1233" t="n">
        <v>1</v>
      </c>
      <c r="AF1233" t="n">
        <v>2</v>
      </c>
      <c r="AG1233" t="n">
        <v>2</v>
      </c>
      <c r="AH1233" t="n">
        <v>1</v>
      </c>
      <c r="AI1233" t="n">
        <v>1</v>
      </c>
      <c r="AJ1233" t="n">
        <v>1</v>
      </c>
      <c r="AK1233" t="n">
        <v>1</v>
      </c>
      <c r="AL1233" t="n">
        <v>1</v>
      </c>
      <c r="AM1233" t="n">
        <v>1</v>
      </c>
      <c r="AN1233" t="n">
        <v>0</v>
      </c>
      <c r="AO1233" t="n">
        <v>0</v>
      </c>
      <c r="AP1233" t="n">
        <v>0</v>
      </c>
      <c r="AQ1233" t="n">
        <v>0</v>
      </c>
      <c r="AR1233" t="inlineStr">
        <is>
          <t>No</t>
        </is>
      </c>
      <c r="AS1233" t="inlineStr">
        <is>
          <t>Yes</t>
        </is>
      </c>
      <c r="AT1233">
        <f>HYPERLINK("http://catalog.hathitrust.org/Record/007876545","HathiTrust Record")</f>
        <v/>
      </c>
      <c r="AU1233">
        <f>HYPERLINK("https://creighton-primo.hosted.exlibrisgroup.com/primo-explore/search?tab=default_tab&amp;search_scope=EVERYTHING&amp;vid=01CRU&amp;lang=en_US&amp;offset=0&amp;query=any,contains,991003802069702656","Catalog Record")</f>
        <v/>
      </c>
      <c r="AV1233">
        <f>HYPERLINK("http://www.worldcat.org/oclc/10457950","WorldCat Record")</f>
        <v/>
      </c>
      <c r="AW1233" t="inlineStr">
        <is>
          <t>3372183309:spa</t>
        </is>
      </c>
      <c r="AX1233" t="inlineStr">
        <is>
          <t>10457950</t>
        </is>
      </c>
      <c r="AY1233" t="inlineStr">
        <is>
          <t>991003802069702656</t>
        </is>
      </c>
      <c r="AZ1233" t="inlineStr">
        <is>
          <t>991003802069702656</t>
        </is>
      </c>
      <c r="BA1233" t="inlineStr">
        <is>
          <t>2265714890002656</t>
        </is>
      </c>
      <c r="BB1233" t="inlineStr">
        <is>
          <t>BOOK</t>
        </is>
      </c>
      <c r="BE1233" t="inlineStr">
        <is>
          <t>32285004484381</t>
        </is>
      </c>
      <c r="BF1233" t="inlineStr">
        <is>
          <t>893343037</t>
        </is>
      </c>
    </row>
    <row r="1234">
      <c r="A1234" t="inlineStr">
        <is>
          <t>No</t>
        </is>
      </c>
      <c r="B1234" t="inlineStr">
        <is>
          <t>CURAL</t>
        </is>
      </c>
      <c r="C1234" t="inlineStr">
        <is>
          <t>SHELVES</t>
        </is>
      </c>
      <c r="D1234" t="inlineStr">
        <is>
          <t>PQ8549.B47 A6 1996</t>
        </is>
      </c>
      <c r="E1234" t="inlineStr">
        <is>
          <t>0                      PQ 8549000B  47                 A  6           1996</t>
        </is>
      </c>
      <c r="F1234" t="inlineStr">
        <is>
          <t>Poesía / Andres Eloy Blanco ; selección y prólogo, Domingo Miliani ; compilación del apéndice, cronología y bibliografía, Rafael Angel Rivas Dugarte ; cuidado de la edición, José Ramón Medina.</t>
        </is>
      </c>
      <c r="H1234" t="inlineStr">
        <is>
          <t>No</t>
        </is>
      </c>
      <c r="I1234" t="inlineStr">
        <is>
          <t>1</t>
        </is>
      </c>
      <c r="J1234" t="inlineStr">
        <is>
          <t>No</t>
        </is>
      </c>
      <c r="K1234" t="inlineStr">
        <is>
          <t>No</t>
        </is>
      </c>
      <c r="L1234" t="inlineStr">
        <is>
          <t>0</t>
        </is>
      </c>
      <c r="M1234" t="inlineStr">
        <is>
          <t>Blanco, Andrés Eloy, 1898-1955.</t>
        </is>
      </c>
      <c r="N1234" t="inlineStr">
        <is>
          <t>Caracas, Venezuela : Biblioteca Ayacucho, 1996.</t>
        </is>
      </c>
      <c r="O1234" t="inlineStr">
        <is>
          <t>1996</t>
        </is>
      </c>
      <c r="Q1234" t="inlineStr">
        <is>
          <t>spa</t>
        </is>
      </c>
      <c r="R1234" t="inlineStr">
        <is>
          <t xml:space="preserve">ve </t>
        </is>
      </c>
      <c r="S1234" t="inlineStr">
        <is>
          <t>Biblioteca Ayacucho ; 214</t>
        </is>
      </c>
      <c r="T1234" t="inlineStr">
        <is>
          <t xml:space="preserve">PQ </t>
        </is>
      </c>
      <c r="U1234" t="n">
        <v>1</v>
      </c>
      <c r="V1234" t="n">
        <v>1</v>
      </c>
      <c r="W1234" t="inlineStr">
        <is>
          <t>2001-11-19</t>
        </is>
      </c>
      <c r="X1234" t="inlineStr">
        <is>
          <t>2001-11-19</t>
        </is>
      </c>
      <c r="Y1234" t="inlineStr">
        <is>
          <t>2001-11-19</t>
        </is>
      </c>
      <c r="Z1234" t="inlineStr">
        <is>
          <t>2001-11-19</t>
        </is>
      </c>
      <c r="AA1234" t="n">
        <v>67</v>
      </c>
      <c r="AB1234" t="n">
        <v>55</v>
      </c>
      <c r="AC1234" t="n">
        <v>62</v>
      </c>
      <c r="AD1234" t="n">
        <v>1</v>
      </c>
      <c r="AE1234" t="n">
        <v>1</v>
      </c>
      <c r="AF1234" t="n">
        <v>2</v>
      </c>
      <c r="AG1234" t="n">
        <v>2</v>
      </c>
      <c r="AH1234" t="n">
        <v>0</v>
      </c>
      <c r="AI1234" t="n">
        <v>0</v>
      </c>
      <c r="AJ1234" t="n">
        <v>2</v>
      </c>
      <c r="AK1234" t="n">
        <v>2</v>
      </c>
      <c r="AL1234" t="n">
        <v>1</v>
      </c>
      <c r="AM1234" t="n">
        <v>1</v>
      </c>
      <c r="AN1234" t="n">
        <v>0</v>
      </c>
      <c r="AO1234" t="n">
        <v>0</v>
      </c>
      <c r="AP1234" t="n">
        <v>0</v>
      </c>
      <c r="AQ1234" t="n">
        <v>0</v>
      </c>
      <c r="AR1234" t="inlineStr">
        <is>
          <t>No</t>
        </is>
      </c>
      <c r="AS1234" t="inlineStr">
        <is>
          <t>Yes</t>
        </is>
      </c>
      <c r="AT1234">
        <f>HYPERLINK("http://catalog.hathitrust.org/Record/101163886","HathiTrust Record")</f>
        <v/>
      </c>
      <c r="AU1234">
        <f>HYPERLINK("https://creighton-primo.hosted.exlibrisgroup.com/primo-explore/search?tab=default_tab&amp;search_scope=EVERYTHING&amp;vid=01CRU&amp;lang=en_US&amp;offset=0&amp;query=any,contains,991003681409702656","Catalog Record")</f>
        <v/>
      </c>
      <c r="AV1234">
        <f>HYPERLINK("http://www.worldcat.org/oclc/37431505","WorldCat Record")</f>
        <v/>
      </c>
      <c r="AW1234" t="inlineStr">
        <is>
          <t>9093651256:spa</t>
        </is>
      </c>
      <c r="AX1234" t="inlineStr">
        <is>
          <t>37431505</t>
        </is>
      </c>
      <c r="AY1234" t="inlineStr">
        <is>
          <t>991003681409702656</t>
        </is>
      </c>
      <c r="AZ1234" t="inlineStr">
        <is>
          <t>991003681409702656</t>
        </is>
      </c>
      <c r="BA1234" t="inlineStr">
        <is>
          <t>2262799470002656</t>
        </is>
      </c>
      <c r="BB1234" t="inlineStr">
        <is>
          <t>BOOK</t>
        </is>
      </c>
      <c r="BD1234" t="inlineStr">
        <is>
          <t>9789802763153</t>
        </is>
      </c>
      <c r="BE1234" t="inlineStr">
        <is>
          <t>32285004412283</t>
        </is>
      </c>
      <c r="BF1234" t="inlineStr">
        <is>
          <t>893611317</t>
        </is>
      </c>
    </row>
    <row r="1235">
      <c r="A1235" t="inlineStr">
        <is>
          <t>No</t>
        </is>
      </c>
      <c r="B1235" t="inlineStr">
        <is>
          <t>CURAL</t>
        </is>
      </c>
      <c r="C1235" t="inlineStr">
        <is>
          <t>SHELVES</t>
        </is>
      </c>
      <c r="D1235" t="inlineStr">
        <is>
          <t>PQ8549.B47 A62 1996</t>
        </is>
      </c>
      <c r="E1235" t="inlineStr">
        <is>
          <t>0                      PQ 8549000B  47                 A  62          1996</t>
        </is>
      </c>
      <c r="F1235" t="inlineStr">
        <is>
          <t>Ingenio y gracia de Andrés Eloy Blanco / José Rivas Rivas [compilador ; ilustraciones de Pedro León Zapata].</t>
        </is>
      </c>
      <c r="H1235" t="inlineStr">
        <is>
          <t>No</t>
        </is>
      </c>
      <c r="I1235" t="inlineStr">
        <is>
          <t>1</t>
        </is>
      </c>
      <c r="J1235" t="inlineStr">
        <is>
          <t>No</t>
        </is>
      </c>
      <c r="K1235" t="inlineStr">
        <is>
          <t>No</t>
        </is>
      </c>
      <c r="L1235" t="inlineStr">
        <is>
          <t>0</t>
        </is>
      </c>
      <c r="M1235" t="inlineStr">
        <is>
          <t>Blanco, Andrés Eloy, 1898-1955.</t>
        </is>
      </c>
      <c r="N1235" t="inlineStr">
        <is>
          <t>Caracas : Fundarte/Alcaldía de Caracas, 1996.</t>
        </is>
      </c>
      <c r="O1235" t="inlineStr">
        <is>
          <t>1996</t>
        </is>
      </c>
      <c r="Q1235" t="inlineStr">
        <is>
          <t>spa</t>
        </is>
      </c>
      <c r="R1235" t="inlineStr">
        <is>
          <t xml:space="preserve">ve </t>
        </is>
      </c>
      <c r="T1235" t="inlineStr">
        <is>
          <t xml:space="preserve">PQ </t>
        </is>
      </c>
      <c r="U1235" t="n">
        <v>1</v>
      </c>
      <c r="V1235" t="n">
        <v>1</v>
      </c>
      <c r="W1235" t="inlineStr">
        <is>
          <t>2002-08-29</t>
        </is>
      </c>
      <c r="X1235" t="inlineStr">
        <is>
          <t>2002-08-29</t>
        </is>
      </c>
      <c r="Y1235" t="inlineStr">
        <is>
          <t>2002-08-29</t>
        </is>
      </c>
      <c r="Z1235" t="inlineStr">
        <is>
          <t>2002-08-29</t>
        </is>
      </c>
      <c r="AA1235" t="n">
        <v>12</v>
      </c>
      <c r="AB1235" t="n">
        <v>11</v>
      </c>
      <c r="AC1235" t="n">
        <v>47</v>
      </c>
      <c r="AD1235" t="n">
        <v>1</v>
      </c>
      <c r="AE1235" t="n">
        <v>2</v>
      </c>
      <c r="AF1235" t="n">
        <v>0</v>
      </c>
      <c r="AG1235" t="n">
        <v>2</v>
      </c>
      <c r="AH1235" t="n">
        <v>0</v>
      </c>
      <c r="AI1235" t="n">
        <v>0</v>
      </c>
      <c r="AJ1235" t="n">
        <v>0</v>
      </c>
      <c r="AK1235" t="n">
        <v>1</v>
      </c>
      <c r="AL1235" t="n">
        <v>0</v>
      </c>
      <c r="AM1235" t="n">
        <v>0</v>
      </c>
      <c r="AN1235" t="n">
        <v>0</v>
      </c>
      <c r="AO1235" t="n">
        <v>1</v>
      </c>
      <c r="AP1235" t="n">
        <v>0</v>
      </c>
      <c r="AQ1235" t="n">
        <v>0</v>
      </c>
      <c r="AR1235" t="inlineStr">
        <is>
          <t>No</t>
        </is>
      </c>
      <c r="AS1235" t="inlineStr">
        <is>
          <t>No</t>
        </is>
      </c>
      <c r="AU1235">
        <f>HYPERLINK("https://creighton-primo.hosted.exlibrisgroup.com/primo-explore/search?tab=default_tab&amp;search_scope=EVERYTHING&amp;vid=01CRU&amp;lang=en_US&amp;offset=0&amp;query=any,contains,991003872359702656","Catalog Record")</f>
        <v/>
      </c>
      <c r="AV1235">
        <f>HYPERLINK("http://www.worldcat.org/oclc/37004641","WorldCat Record")</f>
        <v/>
      </c>
      <c r="AW1235" t="inlineStr">
        <is>
          <t>1374711:spa</t>
        </is>
      </c>
      <c r="AX1235" t="inlineStr">
        <is>
          <t>37004641</t>
        </is>
      </c>
      <c r="AY1235" t="inlineStr">
        <is>
          <t>991003872359702656</t>
        </is>
      </c>
      <c r="AZ1235" t="inlineStr">
        <is>
          <t>991003872359702656</t>
        </is>
      </c>
      <c r="BA1235" t="inlineStr">
        <is>
          <t>2272572640002656</t>
        </is>
      </c>
      <c r="BB1235" t="inlineStr">
        <is>
          <t>BOOK</t>
        </is>
      </c>
      <c r="BD1235" t="inlineStr">
        <is>
          <t>9789802532919</t>
        </is>
      </c>
      <c r="BE1235" t="inlineStr">
        <is>
          <t>32285004645734</t>
        </is>
      </c>
      <c r="BF1235" t="inlineStr">
        <is>
          <t>893441862</t>
        </is>
      </c>
    </row>
    <row r="1236">
      <c r="A1236" t="inlineStr">
        <is>
          <t>No</t>
        </is>
      </c>
      <c r="B1236" t="inlineStr">
        <is>
          <t>CURAL</t>
        </is>
      </c>
      <c r="C1236" t="inlineStr">
        <is>
          <t>SHELVES</t>
        </is>
      </c>
      <c r="D1236" t="inlineStr">
        <is>
          <t>PQ8549.B49 Z234 1963</t>
        </is>
      </c>
      <c r="E1236" t="inlineStr">
        <is>
          <t>0                      PQ 8549000B  49                 Z  234         1963</t>
        </is>
      </c>
      <c r="F1236" t="inlineStr">
        <is>
          <t>Eduardo Blanco, creador de la novela venezolana : estudio crítico de su novela "Zárate" / Pedro P. Barnola</t>
        </is>
      </c>
      <c r="H1236" t="inlineStr">
        <is>
          <t>No</t>
        </is>
      </c>
      <c r="I1236" t="inlineStr">
        <is>
          <t>1</t>
        </is>
      </c>
      <c r="J1236" t="inlineStr">
        <is>
          <t>No</t>
        </is>
      </c>
      <c r="K1236" t="inlineStr">
        <is>
          <t>No</t>
        </is>
      </c>
      <c r="L1236" t="inlineStr">
        <is>
          <t>0</t>
        </is>
      </c>
      <c r="M1236" t="inlineStr">
        <is>
          <t>Barnola, Pedro Pablo.</t>
        </is>
      </c>
      <c r="N1236" t="inlineStr">
        <is>
          <t>Caracas : Tip. Vargas, 1963.</t>
        </is>
      </c>
      <c r="O1236" t="inlineStr">
        <is>
          <t>1963</t>
        </is>
      </c>
      <c r="P1236" t="inlineStr">
        <is>
          <t>2. ed.</t>
        </is>
      </c>
      <c r="Q1236" t="inlineStr">
        <is>
          <t>spa</t>
        </is>
      </c>
      <c r="R1236" t="inlineStr">
        <is>
          <t xml:space="preserve">ve </t>
        </is>
      </c>
      <c r="S1236" t="inlineStr">
        <is>
          <t>Biblioteca venezolana de cultura</t>
        </is>
      </c>
      <c r="T1236" t="inlineStr">
        <is>
          <t xml:space="preserve">PQ </t>
        </is>
      </c>
      <c r="U1236" t="n">
        <v>2</v>
      </c>
      <c r="V1236" t="n">
        <v>2</v>
      </c>
      <c r="W1236" t="inlineStr">
        <is>
          <t>2002-05-13</t>
        </is>
      </c>
      <c r="X1236" t="inlineStr">
        <is>
          <t>2002-05-13</t>
        </is>
      </c>
      <c r="Y1236" t="inlineStr">
        <is>
          <t>2002-05-01</t>
        </is>
      </c>
      <c r="Z1236" t="inlineStr">
        <is>
          <t>2002-05-01</t>
        </is>
      </c>
      <c r="AA1236" t="n">
        <v>64</v>
      </c>
      <c r="AB1236" t="n">
        <v>43</v>
      </c>
      <c r="AC1236" t="n">
        <v>65</v>
      </c>
      <c r="AD1236" t="n">
        <v>2</v>
      </c>
      <c r="AE1236" t="n">
        <v>2</v>
      </c>
      <c r="AF1236" t="n">
        <v>3</v>
      </c>
      <c r="AG1236" t="n">
        <v>4</v>
      </c>
      <c r="AH1236" t="n">
        <v>1</v>
      </c>
      <c r="AI1236" t="n">
        <v>1</v>
      </c>
      <c r="AJ1236" t="n">
        <v>1</v>
      </c>
      <c r="AK1236" t="n">
        <v>1</v>
      </c>
      <c r="AL1236" t="n">
        <v>1</v>
      </c>
      <c r="AM1236" t="n">
        <v>2</v>
      </c>
      <c r="AN1236" t="n">
        <v>1</v>
      </c>
      <c r="AO1236" t="n">
        <v>1</v>
      </c>
      <c r="AP1236" t="n">
        <v>0</v>
      </c>
      <c r="AQ1236" t="n">
        <v>0</v>
      </c>
      <c r="AR1236" t="inlineStr">
        <is>
          <t>No</t>
        </is>
      </c>
      <c r="AS1236" t="inlineStr">
        <is>
          <t>No</t>
        </is>
      </c>
      <c r="AU1236">
        <f>HYPERLINK("https://creighton-primo.hosted.exlibrisgroup.com/primo-explore/search?tab=default_tab&amp;search_scope=EVERYTHING&amp;vid=01CRU&amp;lang=en_US&amp;offset=0&amp;query=any,contains,991003803459702656","Catalog Record")</f>
        <v/>
      </c>
      <c r="AV1236">
        <f>HYPERLINK("http://www.worldcat.org/oclc/3865424","WorldCat Record")</f>
        <v/>
      </c>
      <c r="AW1236" t="inlineStr">
        <is>
          <t>290164573:spa</t>
        </is>
      </c>
      <c r="AX1236" t="inlineStr">
        <is>
          <t>3865424</t>
        </is>
      </c>
      <c r="AY1236" t="inlineStr">
        <is>
          <t>991003803459702656</t>
        </is>
      </c>
      <c r="AZ1236" t="inlineStr">
        <is>
          <t>991003803459702656</t>
        </is>
      </c>
      <c r="BA1236" t="inlineStr">
        <is>
          <t>2272150880002656</t>
        </is>
      </c>
      <c r="BB1236" t="inlineStr">
        <is>
          <t>BOOK</t>
        </is>
      </c>
      <c r="BE1236" t="inlineStr">
        <is>
          <t>32285004485313</t>
        </is>
      </c>
      <c r="BF1236" t="inlineStr">
        <is>
          <t>893794075</t>
        </is>
      </c>
    </row>
    <row r="1237">
      <c r="A1237" t="inlineStr">
        <is>
          <t>No</t>
        </is>
      </c>
      <c r="B1237" t="inlineStr">
        <is>
          <t>CURAL</t>
        </is>
      </c>
      <c r="C1237" t="inlineStr">
        <is>
          <t>SHELVES</t>
        </is>
      </c>
      <c r="D1237" t="inlineStr">
        <is>
          <t>PQ8549.B5 A6 1958</t>
        </is>
      </c>
      <c r="E1237" t="inlineStr">
        <is>
          <t>0                      PQ 8549000B  5                  A  6           1958</t>
        </is>
      </c>
      <c r="F1237" t="inlineStr">
        <is>
          <t>Obras selectas / Rufino Blanco-Fombona ; selecciaon, prolaogo y estudio bibliograafico par Edgar Gabaldaon Maarquez.</t>
        </is>
      </c>
      <c r="H1237" t="inlineStr">
        <is>
          <t>No</t>
        </is>
      </c>
      <c r="I1237" t="inlineStr">
        <is>
          <t>1</t>
        </is>
      </c>
      <c r="J1237" t="inlineStr">
        <is>
          <t>No</t>
        </is>
      </c>
      <c r="K1237" t="inlineStr">
        <is>
          <t>No</t>
        </is>
      </c>
      <c r="L1237" t="inlineStr">
        <is>
          <t>0</t>
        </is>
      </c>
      <c r="M1237" t="inlineStr">
        <is>
          <t>Blanco-Fombona, Rufino, 1874-1944.</t>
        </is>
      </c>
      <c r="N1237" t="inlineStr">
        <is>
          <t>Madrid : Ediciones EDIME, 1958.</t>
        </is>
      </c>
      <c r="O1237" t="inlineStr">
        <is>
          <t>1958</t>
        </is>
      </c>
      <c r="Q1237" t="inlineStr">
        <is>
          <t>eng</t>
        </is>
      </c>
      <c r="R1237" t="inlineStr">
        <is>
          <t xml:space="preserve">sp </t>
        </is>
      </c>
      <c r="S1237" t="inlineStr">
        <is>
          <t>Claasicos y modernos hispanoamericanas</t>
        </is>
      </c>
      <c r="T1237" t="inlineStr">
        <is>
          <t xml:space="preserve">PQ </t>
        </is>
      </c>
      <c r="U1237" t="n">
        <v>1</v>
      </c>
      <c r="V1237" t="n">
        <v>1</v>
      </c>
      <c r="W1237" t="inlineStr">
        <is>
          <t>2004-08-05</t>
        </is>
      </c>
      <c r="X1237" t="inlineStr">
        <is>
          <t>2004-08-05</t>
        </is>
      </c>
      <c r="Y1237" t="inlineStr">
        <is>
          <t>2004-08-05</t>
        </is>
      </c>
      <c r="Z1237" t="inlineStr">
        <is>
          <t>2004-08-05</t>
        </is>
      </c>
      <c r="AA1237" t="n">
        <v>128</v>
      </c>
      <c r="AB1237" t="n">
        <v>109</v>
      </c>
      <c r="AC1237" t="n">
        <v>110</v>
      </c>
      <c r="AD1237" t="n">
        <v>2</v>
      </c>
      <c r="AE1237" t="n">
        <v>2</v>
      </c>
      <c r="AF1237" t="n">
        <v>4</v>
      </c>
      <c r="AG1237" t="n">
        <v>4</v>
      </c>
      <c r="AH1237" t="n">
        <v>1</v>
      </c>
      <c r="AI1237" t="n">
        <v>1</v>
      </c>
      <c r="AJ1237" t="n">
        <v>1</v>
      </c>
      <c r="AK1237" t="n">
        <v>1</v>
      </c>
      <c r="AL1237" t="n">
        <v>2</v>
      </c>
      <c r="AM1237" t="n">
        <v>2</v>
      </c>
      <c r="AN1237" t="n">
        <v>1</v>
      </c>
      <c r="AO1237" t="n">
        <v>1</v>
      </c>
      <c r="AP1237" t="n">
        <v>0</v>
      </c>
      <c r="AQ1237" t="n">
        <v>0</v>
      </c>
      <c r="AR1237" t="inlineStr">
        <is>
          <t>No</t>
        </is>
      </c>
      <c r="AS1237" t="inlineStr">
        <is>
          <t>Yes</t>
        </is>
      </c>
      <c r="AT1237">
        <f>HYPERLINK("http://catalog.hathitrust.org/Record/001050055","HathiTrust Record")</f>
        <v/>
      </c>
      <c r="AU1237">
        <f>HYPERLINK("https://creighton-primo.hosted.exlibrisgroup.com/primo-explore/search?tab=default_tab&amp;search_scope=EVERYTHING&amp;vid=01CRU&amp;lang=en_US&amp;offset=0&amp;query=any,contains,991004339849702656","Catalog Record")</f>
        <v/>
      </c>
      <c r="AV1237">
        <f>HYPERLINK("http://www.worldcat.org/oclc/1829864","WorldCat Record")</f>
        <v/>
      </c>
      <c r="AW1237" t="inlineStr">
        <is>
          <t>334510892:spa</t>
        </is>
      </c>
      <c r="AX1237" t="inlineStr">
        <is>
          <t>1829864</t>
        </is>
      </c>
      <c r="AY1237" t="inlineStr">
        <is>
          <t>991004339849702656</t>
        </is>
      </c>
      <c r="AZ1237" t="inlineStr">
        <is>
          <t>991004339849702656</t>
        </is>
      </c>
      <c r="BA1237" t="inlineStr">
        <is>
          <t>2271904790002656</t>
        </is>
      </c>
      <c r="BB1237" t="inlineStr">
        <is>
          <t>BOOK</t>
        </is>
      </c>
      <c r="BE1237" t="inlineStr">
        <is>
          <t>32285004929609</t>
        </is>
      </c>
      <c r="BF1237" t="inlineStr">
        <is>
          <t>893693827</t>
        </is>
      </c>
    </row>
    <row r="1238">
      <c r="A1238" t="inlineStr">
        <is>
          <t>No</t>
        </is>
      </c>
      <c r="B1238" t="inlineStr">
        <is>
          <t>CURAL</t>
        </is>
      </c>
      <c r="C1238" t="inlineStr">
        <is>
          <t>SHELVES</t>
        </is>
      </c>
      <c r="D1238" t="inlineStr">
        <is>
          <t>PQ8549.C284 C76 1982</t>
        </is>
      </c>
      <c r="E1238" t="inlineStr">
        <is>
          <t>0                      PQ 8549000C  284                C  76          1982</t>
        </is>
      </c>
      <c r="F1238" t="inlineStr">
        <is>
          <t>Cristal de aumento : cuentos / Lucila Palacios.</t>
        </is>
      </c>
      <c r="H1238" t="inlineStr">
        <is>
          <t>No</t>
        </is>
      </c>
      <c r="I1238" t="inlineStr">
        <is>
          <t>1</t>
        </is>
      </c>
      <c r="J1238" t="inlineStr">
        <is>
          <t>No</t>
        </is>
      </c>
      <c r="K1238" t="inlineStr">
        <is>
          <t>No</t>
        </is>
      </c>
      <c r="L1238" t="inlineStr">
        <is>
          <t>0</t>
        </is>
      </c>
      <c r="M1238" t="inlineStr">
        <is>
          <t>Palacios, Lucila, 1902-</t>
        </is>
      </c>
      <c r="N1238" t="inlineStr">
        <is>
          <t>Caracas : [s.n.], 1982</t>
        </is>
      </c>
      <c r="O1238" t="inlineStr">
        <is>
          <t>1982</t>
        </is>
      </c>
      <c r="Q1238" t="inlineStr">
        <is>
          <t>spa</t>
        </is>
      </c>
      <c r="R1238" t="inlineStr">
        <is>
          <t xml:space="preserve">ve </t>
        </is>
      </c>
      <c r="T1238" t="inlineStr">
        <is>
          <t xml:space="preserve">PQ </t>
        </is>
      </c>
      <c r="U1238" t="n">
        <v>1</v>
      </c>
      <c r="V1238" t="n">
        <v>1</v>
      </c>
      <c r="W1238" t="inlineStr">
        <is>
          <t>2001-12-20</t>
        </is>
      </c>
      <c r="X1238" t="inlineStr">
        <is>
          <t>2001-12-20</t>
        </is>
      </c>
      <c r="Y1238" t="inlineStr">
        <is>
          <t>2001-12-19</t>
        </is>
      </c>
      <c r="Z1238" t="inlineStr">
        <is>
          <t>2001-12-19</t>
        </is>
      </c>
      <c r="AA1238" t="n">
        <v>11</v>
      </c>
      <c r="AB1238" t="n">
        <v>10</v>
      </c>
      <c r="AC1238" t="n">
        <v>40</v>
      </c>
      <c r="AD1238" t="n">
        <v>1</v>
      </c>
      <c r="AE1238" t="n">
        <v>1</v>
      </c>
      <c r="AF1238" t="n">
        <v>1</v>
      </c>
      <c r="AG1238" t="n">
        <v>3</v>
      </c>
      <c r="AH1238" t="n">
        <v>0</v>
      </c>
      <c r="AI1238" t="n">
        <v>1</v>
      </c>
      <c r="AJ1238" t="n">
        <v>1</v>
      </c>
      <c r="AK1238" t="n">
        <v>1</v>
      </c>
      <c r="AL1238" t="n">
        <v>1</v>
      </c>
      <c r="AM1238" t="n">
        <v>2</v>
      </c>
      <c r="AN1238" t="n">
        <v>0</v>
      </c>
      <c r="AO1238" t="n">
        <v>0</v>
      </c>
      <c r="AP1238" t="n">
        <v>0</v>
      </c>
      <c r="AQ1238" t="n">
        <v>0</v>
      </c>
      <c r="AR1238" t="inlineStr">
        <is>
          <t>No</t>
        </is>
      </c>
      <c r="AS1238" t="inlineStr">
        <is>
          <t>Yes</t>
        </is>
      </c>
      <c r="AT1238">
        <f>HYPERLINK("http://catalog.hathitrust.org/Record/101163966","HathiTrust Record")</f>
        <v/>
      </c>
      <c r="AU1238">
        <f>HYPERLINK("https://creighton-primo.hosted.exlibrisgroup.com/primo-explore/search?tab=default_tab&amp;search_scope=EVERYTHING&amp;vid=01CRU&amp;lang=en_US&amp;offset=0&amp;query=any,contains,991003701579702656","Catalog Record")</f>
        <v/>
      </c>
      <c r="AV1238">
        <f>HYPERLINK("http://www.worldcat.org/oclc/10368745","WorldCat Record")</f>
        <v/>
      </c>
      <c r="AW1238" t="inlineStr">
        <is>
          <t>905193468:spa</t>
        </is>
      </c>
      <c r="AX1238" t="inlineStr">
        <is>
          <t>10368745</t>
        </is>
      </c>
      <c r="AY1238" t="inlineStr">
        <is>
          <t>991003701579702656</t>
        </is>
      </c>
      <c r="AZ1238" t="inlineStr">
        <is>
          <t>991003701579702656</t>
        </is>
      </c>
      <c r="BA1238" t="inlineStr">
        <is>
          <t>2272313000002656</t>
        </is>
      </c>
      <c r="BB1238" t="inlineStr">
        <is>
          <t>BOOK</t>
        </is>
      </c>
      <c r="BE1238" t="inlineStr">
        <is>
          <t>32285004429329</t>
        </is>
      </c>
      <c r="BF1238" t="inlineStr">
        <is>
          <t>893252654</t>
        </is>
      </c>
    </row>
    <row r="1239">
      <c r="A1239" t="inlineStr">
        <is>
          <t>No</t>
        </is>
      </c>
      <c r="B1239" t="inlineStr">
        <is>
          <t>CURAL</t>
        </is>
      </c>
      <c r="C1239" t="inlineStr">
        <is>
          <t>SHELVES</t>
        </is>
      </c>
      <c r="D1239" t="inlineStr">
        <is>
          <t>PQ8549.D5 A6 1982</t>
        </is>
      </c>
      <c r="E1239" t="inlineStr">
        <is>
          <t>0                      PQ 8549000D  5                  A  6           1982</t>
        </is>
      </c>
      <c r="F1239" t="inlineStr">
        <is>
          <t>Narrativa y ensayo / Manuel Díaz Rodríguez ; selección y prólogo, Orlando Araujo ; cronología, María Beatriz Medina.</t>
        </is>
      </c>
      <c r="H1239" t="inlineStr">
        <is>
          <t>No</t>
        </is>
      </c>
      <c r="I1239" t="inlineStr">
        <is>
          <t>1</t>
        </is>
      </c>
      <c r="J1239" t="inlineStr">
        <is>
          <t>No</t>
        </is>
      </c>
      <c r="K1239" t="inlineStr">
        <is>
          <t>No</t>
        </is>
      </c>
      <c r="L1239" t="inlineStr">
        <is>
          <t>0</t>
        </is>
      </c>
      <c r="M1239" t="inlineStr">
        <is>
          <t>Díaz Rodríguez, Manuel, 1871-1927.</t>
        </is>
      </c>
      <c r="N1239" t="inlineStr">
        <is>
          <t>Caracas, Venezuela : Biblioteca Ayacucho, [1982]</t>
        </is>
      </c>
      <c r="O1239" t="inlineStr">
        <is>
          <t>1982</t>
        </is>
      </c>
      <c r="Q1239" t="inlineStr">
        <is>
          <t>spa</t>
        </is>
      </c>
      <c r="R1239" t="inlineStr">
        <is>
          <t xml:space="preserve">ve </t>
        </is>
      </c>
      <c r="S1239" t="inlineStr">
        <is>
          <t>Biblioteca Ayacucho ; 86</t>
        </is>
      </c>
      <c r="T1239" t="inlineStr">
        <is>
          <t xml:space="preserve">PQ </t>
        </is>
      </c>
      <c r="U1239" t="n">
        <v>1</v>
      </c>
      <c r="V1239" t="n">
        <v>1</v>
      </c>
      <c r="W1239" t="inlineStr">
        <is>
          <t>2001-11-19</t>
        </is>
      </c>
      <c r="X1239" t="inlineStr">
        <is>
          <t>2001-11-19</t>
        </is>
      </c>
      <c r="Y1239" t="inlineStr">
        <is>
          <t>2001-11-19</t>
        </is>
      </c>
      <c r="Z1239" t="inlineStr">
        <is>
          <t>2001-11-19</t>
        </is>
      </c>
      <c r="AA1239" t="n">
        <v>163</v>
      </c>
      <c r="AB1239" t="n">
        <v>116</v>
      </c>
      <c r="AC1239" t="n">
        <v>118</v>
      </c>
      <c r="AD1239" t="n">
        <v>2</v>
      </c>
      <c r="AE1239" t="n">
        <v>2</v>
      </c>
      <c r="AF1239" t="n">
        <v>7</v>
      </c>
      <c r="AG1239" t="n">
        <v>7</v>
      </c>
      <c r="AH1239" t="n">
        <v>0</v>
      </c>
      <c r="AI1239" t="n">
        <v>0</v>
      </c>
      <c r="AJ1239" t="n">
        <v>4</v>
      </c>
      <c r="AK1239" t="n">
        <v>4</v>
      </c>
      <c r="AL1239" t="n">
        <v>4</v>
      </c>
      <c r="AM1239" t="n">
        <v>4</v>
      </c>
      <c r="AN1239" t="n">
        <v>1</v>
      </c>
      <c r="AO1239" t="n">
        <v>1</v>
      </c>
      <c r="AP1239" t="n">
        <v>0</v>
      </c>
      <c r="AQ1239" t="n">
        <v>0</v>
      </c>
      <c r="AR1239" t="inlineStr">
        <is>
          <t>No</t>
        </is>
      </c>
      <c r="AS1239" t="inlineStr">
        <is>
          <t>Yes</t>
        </is>
      </c>
      <c r="AT1239">
        <f>HYPERLINK("http://catalog.hathitrust.org/Record/006233853","HathiTrust Record")</f>
        <v/>
      </c>
      <c r="AU1239">
        <f>HYPERLINK("https://creighton-primo.hosted.exlibrisgroup.com/primo-explore/search?tab=default_tab&amp;search_scope=EVERYTHING&amp;vid=01CRU&amp;lang=en_US&amp;offset=0&amp;query=any,contains,991003681739702656","Catalog Record")</f>
        <v/>
      </c>
      <c r="AV1239">
        <f>HYPERLINK("http://www.worldcat.org/oclc/13560419","WorldCat Record")</f>
        <v/>
      </c>
      <c r="AW1239" t="inlineStr">
        <is>
          <t>197306501:spa</t>
        </is>
      </c>
      <c r="AX1239" t="inlineStr">
        <is>
          <t>13560419</t>
        </is>
      </c>
      <c r="AY1239" t="inlineStr">
        <is>
          <t>991003681739702656</t>
        </is>
      </c>
      <c r="AZ1239" t="inlineStr">
        <is>
          <t>991003681739702656</t>
        </is>
      </c>
      <c r="BA1239" t="inlineStr">
        <is>
          <t>2263549090002656</t>
        </is>
      </c>
      <c r="BB1239" t="inlineStr">
        <is>
          <t>BOOK</t>
        </is>
      </c>
      <c r="BD1239" t="inlineStr">
        <is>
          <t>9788466000833</t>
        </is>
      </c>
      <c r="BE1239" t="inlineStr">
        <is>
          <t>32285004412382</t>
        </is>
      </c>
      <c r="BF1239" t="inlineStr">
        <is>
          <t>893592759</t>
        </is>
      </c>
    </row>
    <row r="1240">
      <c r="A1240" t="inlineStr">
        <is>
          <t>No</t>
        </is>
      </c>
      <c r="B1240" t="inlineStr">
        <is>
          <t>CURAL</t>
        </is>
      </c>
      <c r="C1240" t="inlineStr">
        <is>
          <t>SHELVES</t>
        </is>
      </c>
      <c r="D1240" t="inlineStr">
        <is>
          <t>PQ8549.D55 C5 1963</t>
        </is>
      </c>
      <c r="E1240" t="inlineStr">
        <is>
          <t>0                      PQ 8549000D  55                 C  5           1963</t>
        </is>
      </c>
      <c r="F1240" t="inlineStr">
        <is>
          <t>Cinco cuentos / Gustavo Diaz Solis ; estudio preliminar de Oscar Sambrano Urdaneta.</t>
        </is>
      </c>
      <c r="H1240" t="inlineStr">
        <is>
          <t>No</t>
        </is>
      </c>
      <c r="I1240" t="inlineStr">
        <is>
          <t>1</t>
        </is>
      </c>
      <c r="J1240" t="inlineStr">
        <is>
          <t>No</t>
        </is>
      </c>
      <c r="K1240" t="inlineStr">
        <is>
          <t>No</t>
        </is>
      </c>
      <c r="L1240" t="inlineStr">
        <is>
          <t>0</t>
        </is>
      </c>
      <c r="M1240" t="inlineStr">
        <is>
          <t>Díaz-Solís, Gustavo, 1920-</t>
        </is>
      </c>
      <c r="O1240" t="inlineStr">
        <is>
          <t>1963</t>
        </is>
      </c>
      <c r="Q1240" t="inlineStr">
        <is>
          <t>spa</t>
        </is>
      </c>
      <c r="R1240" t="inlineStr">
        <is>
          <t xml:space="preserve">ve </t>
        </is>
      </c>
      <c r="S1240" t="inlineStr">
        <is>
          <t>Cuadernos literarios de la Asociacíon de Escritores Venezolanos, 120</t>
        </is>
      </c>
      <c r="T1240" t="inlineStr">
        <is>
          <t xml:space="preserve">PQ </t>
        </is>
      </c>
      <c r="U1240" t="n">
        <v>1</v>
      </c>
      <c r="V1240" t="n">
        <v>1</v>
      </c>
      <c r="W1240" t="inlineStr">
        <is>
          <t>2002-07-29</t>
        </is>
      </c>
      <c r="X1240" t="inlineStr">
        <is>
          <t>2002-07-29</t>
        </is>
      </c>
      <c r="Y1240" t="inlineStr">
        <is>
          <t>2002-07-29</t>
        </is>
      </c>
      <c r="Z1240" t="inlineStr">
        <is>
          <t>2002-07-29</t>
        </is>
      </c>
      <c r="AA1240" t="n">
        <v>43</v>
      </c>
      <c r="AB1240" t="n">
        <v>32</v>
      </c>
      <c r="AC1240" t="n">
        <v>34</v>
      </c>
      <c r="AD1240" t="n">
        <v>2</v>
      </c>
      <c r="AE1240" t="n">
        <v>2</v>
      </c>
      <c r="AF1240" t="n">
        <v>1</v>
      </c>
      <c r="AG1240" t="n">
        <v>1</v>
      </c>
      <c r="AH1240" t="n">
        <v>0</v>
      </c>
      <c r="AI1240" t="n">
        <v>0</v>
      </c>
      <c r="AJ1240" t="n">
        <v>0</v>
      </c>
      <c r="AK1240" t="n">
        <v>0</v>
      </c>
      <c r="AL1240" t="n">
        <v>0</v>
      </c>
      <c r="AM1240" t="n">
        <v>0</v>
      </c>
      <c r="AN1240" t="n">
        <v>1</v>
      </c>
      <c r="AO1240" t="n">
        <v>1</v>
      </c>
      <c r="AP1240" t="n">
        <v>0</v>
      </c>
      <c r="AQ1240" t="n">
        <v>0</v>
      </c>
      <c r="AR1240" t="inlineStr">
        <is>
          <t>No</t>
        </is>
      </c>
      <c r="AS1240" t="inlineStr">
        <is>
          <t>Yes</t>
        </is>
      </c>
      <c r="AT1240">
        <f>HYPERLINK("http://catalog.hathitrust.org/Record/101406076","HathiTrust Record")</f>
        <v/>
      </c>
      <c r="AU1240">
        <f>HYPERLINK("https://creighton-primo.hosted.exlibrisgroup.com/primo-explore/search?tab=default_tab&amp;search_scope=EVERYTHING&amp;vid=01CRU&amp;lang=en_US&amp;offset=0&amp;query=any,contains,991003846839702656","Catalog Record")</f>
        <v/>
      </c>
      <c r="AV1240">
        <f>HYPERLINK("http://www.worldcat.org/oclc/2660540","WorldCat Record")</f>
        <v/>
      </c>
      <c r="AW1240" t="inlineStr">
        <is>
          <t>10677854557:spa</t>
        </is>
      </c>
      <c r="AX1240" t="inlineStr">
        <is>
          <t>2660540</t>
        </is>
      </c>
      <c r="AY1240" t="inlineStr">
        <is>
          <t>991003846839702656</t>
        </is>
      </c>
      <c r="AZ1240" t="inlineStr">
        <is>
          <t>991003846839702656</t>
        </is>
      </c>
      <c r="BA1240" t="inlineStr">
        <is>
          <t>2262176800002656</t>
        </is>
      </c>
      <c r="BB1240" t="inlineStr">
        <is>
          <t>BOOK</t>
        </is>
      </c>
      <c r="BE1240" t="inlineStr">
        <is>
          <t>32285004500004</t>
        </is>
      </c>
      <c r="BF1240" t="inlineStr">
        <is>
          <t>893875272</t>
        </is>
      </c>
    </row>
    <row r="1241">
      <c r="A1241" t="inlineStr">
        <is>
          <t>No</t>
        </is>
      </c>
      <c r="B1241" t="inlineStr">
        <is>
          <t>CURAL</t>
        </is>
      </c>
      <c r="C1241" t="inlineStr">
        <is>
          <t>SHELVES</t>
        </is>
      </c>
      <c r="D1241" t="inlineStr">
        <is>
          <t>PQ8549.G24 A6 1981</t>
        </is>
      </c>
      <c r="E1241" t="inlineStr">
        <is>
          <t>0                      PQ 8549000G  24                 A  6           1981</t>
        </is>
      </c>
      <c r="F1241" t="inlineStr">
        <is>
          <t>Cuentos completos / Rómulo Gallegos ; prólogo de Gustavo Luis Carrera.</t>
        </is>
      </c>
      <c r="H1241" t="inlineStr">
        <is>
          <t>No</t>
        </is>
      </c>
      <c r="I1241" t="inlineStr">
        <is>
          <t>1</t>
        </is>
      </c>
      <c r="J1241" t="inlineStr">
        <is>
          <t>No</t>
        </is>
      </c>
      <c r="K1241" t="inlineStr">
        <is>
          <t>No</t>
        </is>
      </c>
      <c r="L1241" t="inlineStr">
        <is>
          <t>0</t>
        </is>
      </c>
      <c r="M1241" t="inlineStr">
        <is>
          <t>Gallegos, Rómulo, 1884-1969.</t>
        </is>
      </c>
      <c r="N1241" t="inlineStr">
        <is>
          <t>Caracas, Venezuela : Monte Avila Editores, c1981.</t>
        </is>
      </c>
      <c r="O1241" t="inlineStr">
        <is>
          <t>1981</t>
        </is>
      </c>
      <c r="Q1241" t="inlineStr">
        <is>
          <t>spa</t>
        </is>
      </c>
      <c r="R1241" t="inlineStr">
        <is>
          <t xml:space="preserve">ve </t>
        </is>
      </c>
      <c r="T1241" t="inlineStr">
        <is>
          <t xml:space="preserve">PQ </t>
        </is>
      </c>
      <c r="U1241" t="n">
        <v>1</v>
      </c>
      <c r="V1241" t="n">
        <v>1</v>
      </c>
      <c r="W1241" t="inlineStr">
        <is>
          <t>2002-06-10</t>
        </is>
      </c>
      <c r="X1241" t="inlineStr">
        <is>
          <t>2002-06-10</t>
        </is>
      </c>
      <c r="Y1241" t="inlineStr">
        <is>
          <t>2002-06-10</t>
        </is>
      </c>
      <c r="Z1241" t="inlineStr">
        <is>
          <t>2002-06-10</t>
        </is>
      </c>
      <c r="AA1241" t="n">
        <v>42</v>
      </c>
      <c r="AB1241" t="n">
        <v>30</v>
      </c>
      <c r="AC1241" t="n">
        <v>64</v>
      </c>
      <c r="AD1241" t="n">
        <v>1</v>
      </c>
      <c r="AE1241" t="n">
        <v>1</v>
      </c>
      <c r="AF1241" t="n">
        <v>0</v>
      </c>
      <c r="AG1241" t="n">
        <v>2</v>
      </c>
      <c r="AH1241" t="n">
        <v>0</v>
      </c>
      <c r="AI1241" t="n">
        <v>1</v>
      </c>
      <c r="AJ1241" t="n">
        <v>0</v>
      </c>
      <c r="AK1241" t="n">
        <v>0</v>
      </c>
      <c r="AL1241" t="n">
        <v>0</v>
      </c>
      <c r="AM1241" t="n">
        <v>1</v>
      </c>
      <c r="AN1241" t="n">
        <v>0</v>
      </c>
      <c r="AO1241" t="n">
        <v>0</v>
      </c>
      <c r="AP1241" t="n">
        <v>0</v>
      </c>
      <c r="AQ1241" t="n">
        <v>0</v>
      </c>
      <c r="AR1241" t="inlineStr">
        <is>
          <t>No</t>
        </is>
      </c>
      <c r="AS1241" t="inlineStr">
        <is>
          <t>No</t>
        </is>
      </c>
      <c r="AU1241">
        <f>HYPERLINK("https://creighton-primo.hosted.exlibrisgroup.com/primo-explore/search?tab=default_tab&amp;search_scope=EVERYTHING&amp;vid=01CRU&amp;lang=en_US&amp;offset=0&amp;query=any,contains,991003816679702656","Catalog Record")</f>
        <v/>
      </c>
      <c r="AV1241">
        <f>HYPERLINK("http://www.worldcat.org/oclc/8242616","WorldCat Record")</f>
        <v/>
      </c>
      <c r="AW1241" t="inlineStr">
        <is>
          <t>199049782:spa</t>
        </is>
      </c>
      <c r="AX1241" t="inlineStr">
        <is>
          <t>8242616</t>
        </is>
      </c>
      <c r="AY1241" t="inlineStr">
        <is>
          <t>991003816679702656</t>
        </is>
      </c>
      <c r="AZ1241" t="inlineStr">
        <is>
          <t>991003816679702656</t>
        </is>
      </c>
      <c r="BA1241" t="inlineStr">
        <is>
          <t>2262390180002656</t>
        </is>
      </c>
      <c r="BB1241" t="inlineStr">
        <is>
          <t>BOOK</t>
        </is>
      </c>
      <c r="BE1241" t="inlineStr">
        <is>
          <t>32285004493572</t>
        </is>
      </c>
      <c r="BF1241" t="inlineStr">
        <is>
          <t>893416830</t>
        </is>
      </c>
    </row>
    <row r="1242">
      <c r="A1242" t="inlineStr">
        <is>
          <t>No</t>
        </is>
      </c>
      <c r="B1242" t="inlineStr">
        <is>
          <t>CURAL</t>
        </is>
      </c>
      <c r="C1242" t="inlineStr">
        <is>
          <t>SHELVES</t>
        </is>
      </c>
      <c r="D1242" t="inlineStr">
        <is>
          <t>PQ8549.G24 B7 1979</t>
        </is>
      </c>
      <c r="E1242" t="inlineStr">
        <is>
          <t>0                      PQ 8549000G  24                 B  7           1979</t>
        </is>
      </c>
      <c r="F1242" t="inlineStr">
        <is>
          <t>La brizna de paja en el viento / Rómulo Gallegos.</t>
        </is>
      </c>
      <c r="H1242" t="inlineStr">
        <is>
          <t>No</t>
        </is>
      </c>
      <c r="I1242" t="inlineStr">
        <is>
          <t>1</t>
        </is>
      </c>
      <c r="J1242" t="inlineStr">
        <is>
          <t>No</t>
        </is>
      </c>
      <c r="K1242" t="inlineStr">
        <is>
          <t>No</t>
        </is>
      </c>
      <c r="L1242" t="inlineStr">
        <is>
          <t>0</t>
        </is>
      </c>
      <c r="M1242" t="inlineStr">
        <is>
          <t>Gallegos, Rómulo, 1884-1969.</t>
        </is>
      </c>
      <c r="N1242" t="inlineStr">
        <is>
          <t>Salsadella, España : Los libros de plon, 1979.</t>
        </is>
      </c>
      <c r="O1242" t="inlineStr">
        <is>
          <t>1979</t>
        </is>
      </c>
      <c r="P1242" t="inlineStr">
        <is>
          <t>1. ed.</t>
        </is>
      </c>
      <c r="Q1242" t="inlineStr">
        <is>
          <t>spa</t>
        </is>
      </c>
      <c r="R1242" t="inlineStr">
        <is>
          <t xml:space="preserve">sp </t>
        </is>
      </c>
      <c r="S1242" t="inlineStr">
        <is>
          <t>Colección La palma viajera ; no. 12</t>
        </is>
      </c>
      <c r="T1242" t="inlineStr">
        <is>
          <t xml:space="preserve">PQ </t>
        </is>
      </c>
      <c r="U1242" t="n">
        <v>1</v>
      </c>
      <c r="V1242" t="n">
        <v>1</v>
      </c>
      <c r="W1242" t="inlineStr">
        <is>
          <t>2004-08-02</t>
        </is>
      </c>
      <c r="X1242" t="inlineStr">
        <is>
          <t>2004-08-02</t>
        </is>
      </c>
      <c r="Y1242" t="inlineStr">
        <is>
          <t>2004-08-02</t>
        </is>
      </c>
      <c r="Z1242" t="inlineStr">
        <is>
          <t>2004-08-02</t>
        </is>
      </c>
      <c r="AA1242" t="n">
        <v>6</v>
      </c>
      <c r="AB1242" t="n">
        <v>5</v>
      </c>
      <c r="AC1242" t="n">
        <v>147</v>
      </c>
      <c r="AD1242" t="n">
        <v>1</v>
      </c>
      <c r="AE1242" t="n">
        <v>3</v>
      </c>
      <c r="AF1242" t="n">
        <v>0</v>
      </c>
      <c r="AG1242" t="n">
        <v>6</v>
      </c>
      <c r="AH1242" t="n">
        <v>0</v>
      </c>
      <c r="AI1242" t="n">
        <v>1</v>
      </c>
      <c r="AJ1242" t="n">
        <v>0</v>
      </c>
      <c r="AK1242" t="n">
        <v>2</v>
      </c>
      <c r="AL1242" t="n">
        <v>0</v>
      </c>
      <c r="AM1242" t="n">
        <v>2</v>
      </c>
      <c r="AN1242" t="n">
        <v>0</v>
      </c>
      <c r="AO1242" t="n">
        <v>2</v>
      </c>
      <c r="AP1242" t="n">
        <v>0</v>
      </c>
      <c r="AQ1242" t="n">
        <v>0</v>
      </c>
      <c r="AR1242" t="inlineStr">
        <is>
          <t>No</t>
        </is>
      </c>
      <c r="AS1242" t="inlineStr">
        <is>
          <t>No</t>
        </is>
      </c>
      <c r="AU1242">
        <f>HYPERLINK("https://creighton-primo.hosted.exlibrisgroup.com/primo-explore/search?tab=default_tab&amp;search_scope=EVERYTHING&amp;vid=01CRU&amp;lang=en_US&amp;offset=0&amp;query=any,contains,991004333919702656","Catalog Record")</f>
        <v/>
      </c>
      <c r="AV1242">
        <f>HYPERLINK("http://www.worldcat.org/oclc/14269503","WorldCat Record")</f>
        <v/>
      </c>
      <c r="AW1242" t="inlineStr">
        <is>
          <t>368226869:spa</t>
        </is>
      </c>
      <c r="AX1242" t="inlineStr">
        <is>
          <t>14269503</t>
        </is>
      </c>
      <c r="AY1242" t="inlineStr">
        <is>
          <t>991004333919702656</t>
        </is>
      </c>
      <c r="AZ1242" t="inlineStr">
        <is>
          <t>991004333919702656</t>
        </is>
      </c>
      <c r="BA1242" t="inlineStr">
        <is>
          <t>2256697720002656</t>
        </is>
      </c>
      <c r="BB1242" t="inlineStr">
        <is>
          <t>BOOK</t>
        </is>
      </c>
      <c r="BD1242" t="inlineStr">
        <is>
          <t>9788485056187</t>
        </is>
      </c>
      <c r="BE1242" t="inlineStr">
        <is>
          <t>32285004925698</t>
        </is>
      </c>
      <c r="BF1242" t="inlineStr">
        <is>
          <t>893612227</t>
        </is>
      </c>
    </row>
    <row r="1243">
      <c r="A1243" t="inlineStr">
        <is>
          <t>No</t>
        </is>
      </c>
      <c r="B1243" t="inlineStr">
        <is>
          <t>CURAL</t>
        </is>
      </c>
      <c r="C1243" t="inlineStr">
        <is>
          <t>SHELVES</t>
        </is>
      </c>
      <c r="D1243" t="inlineStr">
        <is>
          <t>PQ8549.G24 Z645 1967</t>
        </is>
      </c>
      <c r="E1243" t="inlineStr">
        <is>
          <t>0                      PQ 8549000G  24                 Z  645         1967</t>
        </is>
      </c>
      <c r="F1243" t="inlineStr">
        <is>
          <t>Raomulo Gallegos : realidad y saimbolo / Pedro Diaz Seijas ; praologo de Demetrio Aguilera Malta.</t>
        </is>
      </c>
      <c r="H1243" t="inlineStr">
        <is>
          <t>No</t>
        </is>
      </c>
      <c r="I1243" t="inlineStr">
        <is>
          <t>1</t>
        </is>
      </c>
      <c r="J1243" t="inlineStr">
        <is>
          <t>No</t>
        </is>
      </c>
      <c r="K1243" t="inlineStr">
        <is>
          <t>No</t>
        </is>
      </c>
      <c r="L1243" t="inlineStr">
        <is>
          <t>0</t>
        </is>
      </c>
      <c r="M1243" t="inlineStr">
        <is>
          <t>Díaz Seijas, Pedro.</t>
        </is>
      </c>
      <c r="N1243" t="inlineStr">
        <is>
          <t>Maexico : B. Costa-Amic, 1967.</t>
        </is>
      </c>
      <c r="O1243" t="inlineStr">
        <is>
          <t>1967</t>
        </is>
      </c>
      <c r="Q1243" t="inlineStr">
        <is>
          <t>spa</t>
        </is>
      </c>
      <c r="R1243" t="inlineStr">
        <is>
          <t xml:space="preserve">mx </t>
        </is>
      </c>
      <c r="T1243" t="inlineStr">
        <is>
          <t xml:space="preserve">PQ </t>
        </is>
      </c>
      <c r="U1243" t="n">
        <v>1</v>
      </c>
      <c r="V1243" t="n">
        <v>1</v>
      </c>
      <c r="W1243" t="inlineStr">
        <is>
          <t>2004-08-02</t>
        </is>
      </c>
      <c r="X1243" t="inlineStr">
        <is>
          <t>2004-08-02</t>
        </is>
      </c>
      <c r="Y1243" t="inlineStr">
        <is>
          <t>2004-08-02</t>
        </is>
      </c>
      <c r="Z1243" t="inlineStr">
        <is>
          <t>2004-08-02</t>
        </is>
      </c>
      <c r="AA1243" t="n">
        <v>104</v>
      </c>
      <c r="AB1243" t="n">
        <v>86</v>
      </c>
      <c r="AC1243" t="n">
        <v>133</v>
      </c>
      <c r="AD1243" t="n">
        <v>2</v>
      </c>
      <c r="AE1243" t="n">
        <v>2</v>
      </c>
      <c r="AF1243" t="n">
        <v>7</v>
      </c>
      <c r="AG1243" t="n">
        <v>7</v>
      </c>
      <c r="AH1243" t="n">
        <v>2</v>
      </c>
      <c r="AI1243" t="n">
        <v>2</v>
      </c>
      <c r="AJ1243" t="n">
        <v>2</v>
      </c>
      <c r="AK1243" t="n">
        <v>2</v>
      </c>
      <c r="AL1243" t="n">
        <v>3</v>
      </c>
      <c r="AM1243" t="n">
        <v>3</v>
      </c>
      <c r="AN1243" t="n">
        <v>1</v>
      </c>
      <c r="AO1243" t="n">
        <v>1</v>
      </c>
      <c r="AP1243" t="n">
        <v>0</v>
      </c>
      <c r="AQ1243" t="n">
        <v>0</v>
      </c>
      <c r="AR1243" t="inlineStr">
        <is>
          <t>No</t>
        </is>
      </c>
      <c r="AS1243" t="inlineStr">
        <is>
          <t>Yes</t>
        </is>
      </c>
      <c r="AT1243">
        <f>HYPERLINK("http://catalog.hathitrust.org/Record/001051336","HathiTrust Record")</f>
        <v/>
      </c>
      <c r="AU1243">
        <f>HYPERLINK("https://creighton-primo.hosted.exlibrisgroup.com/primo-explore/search?tab=default_tab&amp;search_scope=EVERYTHING&amp;vid=01CRU&amp;lang=en_US&amp;offset=0&amp;query=any,contains,991004333719702656","Catalog Record")</f>
        <v/>
      </c>
      <c r="AV1243">
        <f>HYPERLINK("http://www.worldcat.org/oclc/1704976","WorldCat Record")</f>
        <v/>
      </c>
      <c r="AW1243" t="inlineStr">
        <is>
          <t>223602781:spa</t>
        </is>
      </c>
      <c r="AX1243" t="inlineStr">
        <is>
          <t>1704976</t>
        </is>
      </c>
      <c r="AY1243" t="inlineStr">
        <is>
          <t>991004333719702656</t>
        </is>
      </c>
      <c r="AZ1243" t="inlineStr">
        <is>
          <t>991004333719702656</t>
        </is>
      </c>
      <c r="BA1243" t="inlineStr">
        <is>
          <t>2265704710002656</t>
        </is>
      </c>
      <c r="BB1243" t="inlineStr">
        <is>
          <t>BOOK</t>
        </is>
      </c>
      <c r="BE1243" t="inlineStr">
        <is>
          <t>32285004925748</t>
        </is>
      </c>
      <c r="BF1243" t="inlineStr">
        <is>
          <t>893331464</t>
        </is>
      </c>
    </row>
    <row r="1244">
      <c r="A1244" t="inlineStr">
        <is>
          <t>No</t>
        </is>
      </c>
      <c r="B1244" t="inlineStr">
        <is>
          <t>CURAL</t>
        </is>
      </c>
      <c r="C1244" t="inlineStr">
        <is>
          <t>SHELVES</t>
        </is>
      </c>
      <c r="D1244" t="inlineStr">
        <is>
          <t>PQ8549.G24 Z65 1954</t>
        </is>
      </c>
      <c r="E1244" t="inlineStr">
        <is>
          <t>0                      PQ 8549000G  24                 Z  65          1954</t>
        </is>
      </c>
      <c r="F1244" t="inlineStr">
        <is>
          <t>Romulo Gallegos : estudio sobre el arte de novelar / Ulrich Leo.</t>
        </is>
      </c>
      <c r="H1244" t="inlineStr">
        <is>
          <t>No</t>
        </is>
      </c>
      <c r="I1244" t="inlineStr">
        <is>
          <t>1</t>
        </is>
      </c>
      <c r="J1244" t="inlineStr">
        <is>
          <t>No</t>
        </is>
      </c>
      <c r="K1244" t="inlineStr">
        <is>
          <t>No</t>
        </is>
      </c>
      <c r="L1244" t="inlineStr">
        <is>
          <t>0</t>
        </is>
      </c>
      <c r="M1244" t="inlineStr">
        <is>
          <t>Leo, Ulrich, 1890-1964.</t>
        </is>
      </c>
      <c r="N1244" t="inlineStr">
        <is>
          <t>Caracas : [Editorial Arte, 1954]</t>
        </is>
      </c>
      <c r="O1244" t="inlineStr">
        <is>
          <t>1954</t>
        </is>
      </c>
      <c r="Q1244" t="inlineStr">
        <is>
          <t>spa</t>
        </is>
      </c>
      <c r="R1244" t="inlineStr">
        <is>
          <t xml:space="preserve">ve </t>
        </is>
      </c>
      <c r="S1244" t="inlineStr">
        <is>
          <t>Biblioteca popular venezolana ; 109</t>
        </is>
      </c>
      <c r="T1244" t="inlineStr">
        <is>
          <t xml:space="preserve">PQ </t>
        </is>
      </c>
      <c r="U1244" t="n">
        <v>1</v>
      </c>
      <c r="V1244" t="n">
        <v>1</v>
      </c>
      <c r="W1244" t="inlineStr">
        <is>
          <t>2004-08-02</t>
        </is>
      </c>
      <c r="X1244" t="inlineStr">
        <is>
          <t>2004-08-02</t>
        </is>
      </c>
      <c r="Y1244" t="inlineStr">
        <is>
          <t>2004-08-02</t>
        </is>
      </c>
      <c r="Z1244" t="inlineStr">
        <is>
          <t>2004-08-02</t>
        </is>
      </c>
      <c r="AA1244" t="n">
        <v>17</v>
      </c>
      <c r="AB1244" t="n">
        <v>12</v>
      </c>
      <c r="AC1244" t="n">
        <v>64</v>
      </c>
      <c r="AD1244" t="n">
        <v>1</v>
      </c>
      <c r="AE1244" t="n">
        <v>1</v>
      </c>
      <c r="AF1244" t="n">
        <v>2</v>
      </c>
      <c r="AG1244" t="n">
        <v>4</v>
      </c>
      <c r="AH1244" t="n">
        <v>1</v>
      </c>
      <c r="AI1244" t="n">
        <v>1</v>
      </c>
      <c r="AJ1244" t="n">
        <v>1</v>
      </c>
      <c r="AK1244" t="n">
        <v>1</v>
      </c>
      <c r="AL1244" t="n">
        <v>0</v>
      </c>
      <c r="AM1244" t="n">
        <v>2</v>
      </c>
      <c r="AN1244" t="n">
        <v>0</v>
      </c>
      <c r="AO1244" t="n">
        <v>0</v>
      </c>
      <c r="AP1244" t="n">
        <v>0</v>
      </c>
      <c r="AQ1244" t="n">
        <v>0</v>
      </c>
      <c r="AR1244" t="inlineStr">
        <is>
          <t>No</t>
        </is>
      </c>
      <c r="AS1244" t="inlineStr">
        <is>
          <t>No</t>
        </is>
      </c>
      <c r="AU1244">
        <f>HYPERLINK("https://creighton-primo.hosted.exlibrisgroup.com/primo-explore/search?tab=default_tab&amp;search_scope=EVERYTHING&amp;vid=01CRU&amp;lang=en_US&amp;offset=0&amp;query=any,contains,991004333859702656","Catalog Record")</f>
        <v/>
      </c>
      <c r="AV1244">
        <f>HYPERLINK("http://www.worldcat.org/oclc/3912083","WorldCat Record")</f>
        <v/>
      </c>
      <c r="AW1244" t="inlineStr">
        <is>
          <t>2377764:spa</t>
        </is>
      </c>
      <c r="AX1244" t="inlineStr">
        <is>
          <t>3912083</t>
        </is>
      </c>
      <c r="AY1244" t="inlineStr">
        <is>
          <t>991004333859702656</t>
        </is>
      </c>
      <c r="AZ1244" t="inlineStr">
        <is>
          <t>991004333859702656</t>
        </is>
      </c>
      <c r="BA1244" t="inlineStr">
        <is>
          <t>2260225260002656</t>
        </is>
      </c>
      <c r="BB1244" t="inlineStr">
        <is>
          <t>BOOK</t>
        </is>
      </c>
      <c r="BE1244" t="inlineStr">
        <is>
          <t>32285004925706</t>
        </is>
      </c>
      <c r="BF1244" t="inlineStr">
        <is>
          <t>893788573</t>
        </is>
      </c>
    </row>
    <row r="1245">
      <c r="A1245" t="inlineStr">
        <is>
          <t>No</t>
        </is>
      </c>
      <c r="B1245" t="inlineStr">
        <is>
          <t>CURAL</t>
        </is>
      </c>
      <c r="C1245" t="inlineStr">
        <is>
          <t>SHELVES</t>
        </is>
      </c>
      <c r="D1245" t="inlineStr">
        <is>
          <t>PQ8549.G24 Z66 1985</t>
        </is>
      </c>
      <c r="E1245" t="inlineStr">
        <is>
          <t>0                      PQ 8549000G  24                 Z  66          1985</t>
        </is>
      </c>
      <c r="F1245" t="inlineStr">
        <is>
          <t>Raomulo Gallegos : la realidad, la ficciaon, el saimbolo : un estudio del momento primero de la escritura galleguiana / Rafael Fauquiae Bescaos.</t>
        </is>
      </c>
      <c r="H1245" t="inlineStr">
        <is>
          <t>No</t>
        </is>
      </c>
      <c r="I1245" t="inlineStr">
        <is>
          <t>1</t>
        </is>
      </c>
      <c r="J1245" t="inlineStr">
        <is>
          <t>No</t>
        </is>
      </c>
      <c r="K1245" t="inlineStr">
        <is>
          <t>No</t>
        </is>
      </c>
      <c r="L1245" t="inlineStr">
        <is>
          <t>0</t>
        </is>
      </c>
      <c r="M1245" t="inlineStr">
        <is>
          <t>Fauquiae Bescaos, Rafael, 1954-</t>
        </is>
      </c>
      <c r="N1245" t="inlineStr">
        <is>
          <t>Caracas : Academia Nacional de la Historia, 1985.</t>
        </is>
      </c>
      <c r="O1245" t="inlineStr">
        <is>
          <t>1985</t>
        </is>
      </c>
      <c r="Q1245" t="inlineStr">
        <is>
          <t>spa</t>
        </is>
      </c>
      <c r="R1245" t="inlineStr">
        <is>
          <t xml:space="preserve">ve </t>
        </is>
      </c>
      <c r="S1245" t="inlineStr">
        <is>
          <t>Biblioteca de la Academia Nacional de la Historia. Estudios, monografaias y ensayos ; 64</t>
        </is>
      </c>
      <c r="T1245" t="inlineStr">
        <is>
          <t xml:space="preserve">PQ </t>
        </is>
      </c>
      <c r="U1245" t="n">
        <v>1</v>
      </c>
      <c r="V1245" t="n">
        <v>1</v>
      </c>
      <c r="W1245" t="inlineStr">
        <is>
          <t>2004-08-04</t>
        </is>
      </c>
      <c r="X1245" t="inlineStr">
        <is>
          <t>2004-08-04</t>
        </is>
      </c>
      <c r="Y1245" t="inlineStr">
        <is>
          <t>2004-08-04</t>
        </is>
      </c>
      <c r="Z1245" t="inlineStr">
        <is>
          <t>2004-08-04</t>
        </is>
      </c>
      <c r="AA1245" t="n">
        <v>65</v>
      </c>
      <c r="AB1245" t="n">
        <v>41</v>
      </c>
      <c r="AC1245" t="n">
        <v>43</v>
      </c>
      <c r="AD1245" t="n">
        <v>1</v>
      </c>
      <c r="AE1245" t="n">
        <v>1</v>
      </c>
      <c r="AF1245" t="n">
        <v>2</v>
      </c>
      <c r="AG1245" t="n">
        <v>2</v>
      </c>
      <c r="AH1245" t="n">
        <v>0</v>
      </c>
      <c r="AI1245" t="n">
        <v>0</v>
      </c>
      <c r="AJ1245" t="n">
        <v>2</v>
      </c>
      <c r="AK1245" t="n">
        <v>2</v>
      </c>
      <c r="AL1245" t="n">
        <v>1</v>
      </c>
      <c r="AM1245" t="n">
        <v>1</v>
      </c>
      <c r="AN1245" t="n">
        <v>0</v>
      </c>
      <c r="AO1245" t="n">
        <v>0</v>
      </c>
      <c r="AP1245" t="n">
        <v>0</v>
      </c>
      <c r="AQ1245" t="n">
        <v>0</v>
      </c>
      <c r="AR1245" t="inlineStr">
        <is>
          <t>No</t>
        </is>
      </c>
      <c r="AS1245" t="inlineStr">
        <is>
          <t>Yes</t>
        </is>
      </c>
      <c r="AT1245">
        <f>HYPERLINK("http://catalog.hathitrust.org/Record/101164108","HathiTrust Record")</f>
        <v/>
      </c>
      <c r="AU1245">
        <f>HYPERLINK("https://creighton-primo.hosted.exlibrisgroup.com/primo-explore/search?tab=default_tab&amp;search_scope=EVERYTHING&amp;vid=01CRU&amp;lang=en_US&amp;offset=0&amp;query=any,contains,991004335669702656","Catalog Record")</f>
        <v/>
      </c>
      <c r="AV1245">
        <f>HYPERLINK("http://www.worldcat.org/oclc/13549047","WorldCat Record")</f>
        <v/>
      </c>
      <c r="AW1245" t="inlineStr">
        <is>
          <t>908082467:spa</t>
        </is>
      </c>
      <c r="AX1245" t="inlineStr">
        <is>
          <t>13549047</t>
        </is>
      </c>
      <c r="AY1245" t="inlineStr">
        <is>
          <t>991004335669702656</t>
        </is>
      </c>
      <c r="AZ1245" t="inlineStr">
        <is>
          <t>991004335669702656</t>
        </is>
      </c>
      <c r="BA1245" t="inlineStr">
        <is>
          <t>2267188530002656</t>
        </is>
      </c>
      <c r="BB1245" t="inlineStr">
        <is>
          <t>BOOK</t>
        </is>
      </c>
      <c r="BD1245" t="inlineStr">
        <is>
          <t>9789802220076</t>
        </is>
      </c>
      <c r="BE1245" t="inlineStr">
        <is>
          <t>32285004928239</t>
        </is>
      </c>
      <c r="BF1245" t="inlineStr">
        <is>
          <t>893599717</t>
        </is>
      </c>
    </row>
    <row r="1246">
      <c r="A1246" t="inlineStr">
        <is>
          <t>No</t>
        </is>
      </c>
      <c r="B1246" t="inlineStr">
        <is>
          <t>CURAL</t>
        </is>
      </c>
      <c r="C1246" t="inlineStr">
        <is>
          <t>SHELVES</t>
        </is>
      </c>
      <c r="D1246" t="inlineStr">
        <is>
          <t>PQ8549.G24 Z825 1966</t>
        </is>
      </c>
      <c r="E1246" t="inlineStr">
        <is>
          <t>0                      PQ 8549000G  24                 Z  825         1966</t>
        </is>
      </c>
      <c r="F1246" t="inlineStr">
        <is>
          <t>Raomulo Gallegos : ensayo biograafico /cJose Ramon Medina.</t>
        </is>
      </c>
      <c r="H1246" t="inlineStr">
        <is>
          <t>No</t>
        </is>
      </c>
      <c r="I1246" t="inlineStr">
        <is>
          <t>1</t>
        </is>
      </c>
      <c r="J1246" t="inlineStr">
        <is>
          <t>No</t>
        </is>
      </c>
      <c r="K1246" t="inlineStr">
        <is>
          <t>No</t>
        </is>
      </c>
      <c r="L1246" t="inlineStr">
        <is>
          <t>0</t>
        </is>
      </c>
      <c r="M1246" t="inlineStr">
        <is>
          <t>Medina, Josae Ramaon.</t>
        </is>
      </c>
      <c r="N1246" t="inlineStr">
        <is>
          <t>Caracas : Editorial Arte, 1966.</t>
        </is>
      </c>
      <c r="O1246" t="inlineStr">
        <is>
          <t>1966</t>
        </is>
      </c>
      <c r="Q1246" t="inlineStr">
        <is>
          <t>spa</t>
        </is>
      </c>
      <c r="R1246" t="inlineStr">
        <is>
          <t xml:space="preserve">ve </t>
        </is>
      </c>
      <c r="T1246" t="inlineStr">
        <is>
          <t xml:space="preserve">PQ </t>
        </is>
      </c>
      <c r="U1246" t="n">
        <v>1</v>
      </c>
      <c r="V1246" t="n">
        <v>1</v>
      </c>
      <c r="W1246" t="inlineStr">
        <is>
          <t>2004-08-02</t>
        </is>
      </c>
      <c r="X1246" t="inlineStr">
        <is>
          <t>2004-08-02</t>
        </is>
      </c>
      <c r="Y1246" t="inlineStr">
        <is>
          <t>2004-08-02</t>
        </is>
      </c>
      <c r="Z1246" t="inlineStr">
        <is>
          <t>2004-08-02</t>
        </is>
      </c>
      <c r="AA1246" t="n">
        <v>98</v>
      </c>
      <c r="AB1246" t="n">
        <v>73</v>
      </c>
      <c r="AC1246" t="n">
        <v>75</v>
      </c>
      <c r="AD1246" t="n">
        <v>2</v>
      </c>
      <c r="AE1246" t="n">
        <v>2</v>
      </c>
      <c r="AF1246" t="n">
        <v>5</v>
      </c>
      <c r="AG1246" t="n">
        <v>5</v>
      </c>
      <c r="AH1246" t="n">
        <v>1</v>
      </c>
      <c r="AI1246" t="n">
        <v>1</v>
      </c>
      <c r="AJ1246" t="n">
        <v>1</v>
      </c>
      <c r="AK1246" t="n">
        <v>1</v>
      </c>
      <c r="AL1246" t="n">
        <v>2</v>
      </c>
      <c r="AM1246" t="n">
        <v>2</v>
      </c>
      <c r="AN1246" t="n">
        <v>1</v>
      </c>
      <c r="AO1246" t="n">
        <v>1</v>
      </c>
      <c r="AP1246" t="n">
        <v>0</v>
      </c>
      <c r="AQ1246" t="n">
        <v>0</v>
      </c>
      <c r="AR1246" t="inlineStr">
        <is>
          <t>No</t>
        </is>
      </c>
      <c r="AS1246" t="inlineStr">
        <is>
          <t>Yes</t>
        </is>
      </c>
      <c r="AT1246">
        <f>HYPERLINK("http://catalog.hathitrust.org/Record/007336412","HathiTrust Record")</f>
        <v/>
      </c>
      <c r="AU1246">
        <f>HYPERLINK("https://creighton-primo.hosted.exlibrisgroup.com/primo-explore/search?tab=default_tab&amp;search_scope=EVERYTHING&amp;vid=01CRU&amp;lang=en_US&amp;offset=0&amp;query=any,contains,991004333579702656","Catalog Record")</f>
        <v/>
      </c>
      <c r="AV1246">
        <f>HYPERLINK("http://www.worldcat.org/oclc/574827","WorldCat Record")</f>
        <v/>
      </c>
      <c r="AW1246" t="inlineStr">
        <is>
          <t>1699316:spa</t>
        </is>
      </c>
      <c r="AX1246" t="inlineStr">
        <is>
          <t>574827</t>
        </is>
      </c>
      <c r="AY1246" t="inlineStr">
        <is>
          <t>991004333579702656</t>
        </is>
      </c>
      <c r="AZ1246" t="inlineStr">
        <is>
          <t>991004333579702656</t>
        </is>
      </c>
      <c r="BA1246" t="inlineStr">
        <is>
          <t>2257601210002656</t>
        </is>
      </c>
      <c r="BB1246" t="inlineStr">
        <is>
          <t>BOOK</t>
        </is>
      </c>
      <c r="BE1246" t="inlineStr">
        <is>
          <t>32285004925763</t>
        </is>
      </c>
      <c r="BF1246" t="inlineStr">
        <is>
          <t>893706272</t>
        </is>
      </c>
    </row>
    <row r="1247">
      <c r="A1247" t="inlineStr">
        <is>
          <t>No</t>
        </is>
      </c>
      <c r="B1247" t="inlineStr">
        <is>
          <t>CURAL</t>
        </is>
      </c>
      <c r="C1247" t="inlineStr">
        <is>
          <t>SHELVES</t>
        </is>
      </c>
      <c r="D1247" t="inlineStr">
        <is>
          <t>PQ8549.G24 Z84 1984</t>
        </is>
      </c>
      <c r="E1247" t="inlineStr">
        <is>
          <t>0                      PQ 8549000G  24                 Z  84          1984</t>
        </is>
      </c>
      <c r="F1247" t="inlineStr">
        <is>
          <t>Homenaje a Rómulo Gallegos / Guillermo Morón.</t>
        </is>
      </c>
      <c r="H1247" t="inlineStr">
        <is>
          <t>No</t>
        </is>
      </c>
      <c r="I1247" t="inlineStr">
        <is>
          <t>1</t>
        </is>
      </c>
      <c r="J1247" t="inlineStr">
        <is>
          <t>No</t>
        </is>
      </c>
      <c r="K1247" t="inlineStr">
        <is>
          <t>No</t>
        </is>
      </c>
      <c r="L1247" t="inlineStr">
        <is>
          <t>0</t>
        </is>
      </c>
      <c r="M1247" t="inlineStr">
        <is>
          <t>Morón, Guillermo.</t>
        </is>
      </c>
      <c r="N1247" t="inlineStr">
        <is>
          <t>Caracas : Academia Nacional de la Historia, 1984.</t>
        </is>
      </c>
      <c r="O1247" t="inlineStr">
        <is>
          <t>1984</t>
        </is>
      </c>
      <c r="Q1247" t="inlineStr">
        <is>
          <t>spa</t>
        </is>
      </c>
      <c r="R1247" t="inlineStr">
        <is>
          <t xml:space="preserve">ve </t>
        </is>
      </c>
      <c r="S1247" t="inlineStr">
        <is>
          <t>El Libro menor ; 60</t>
        </is>
      </c>
      <c r="T1247" t="inlineStr">
        <is>
          <t xml:space="preserve">PQ </t>
        </is>
      </c>
      <c r="U1247" t="n">
        <v>1</v>
      </c>
      <c r="V1247" t="n">
        <v>1</v>
      </c>
      <c r="W1247" t="inlineStr">
        <is>
          <t>2004-08-05</t>
        </is>
      </c>
      <c r="X1247" t="inlineStr">
        <is>
          <t>2004-08-05</t>
        </is>
      </c>
      <c r="Y1247" t="inlineStr">
        <is>
          <t>2004-08-05</t>
        </is>
      </c>
      <c r="Z1247" t="inlineStr">
        <is>
          <t>2004-08-05</t>
        </is>
      </c>
      <c r="AA1247" t="n">
        <v>62</v>
      </c>
      <c r="AB1247" t="n">
        <v>45</v>
      </c>
      <c r="AC1247" t="n">
        <v>46</v>
      </c>
      <c r="AD1247" t="n">
        <v>1</v>
      </c>
      <c r="AE1247" t="n">
        <v>1</v>
      </c>
      <c r="AF1247" t="n">
        <v>2</v>
      </c>
      <c r="AG1247" t="n">
        <v>2</v>
      </c>
      <c r="AH1247" t="n">
        <v>0</v>
      </c>
      <c r="AI1247" t="n">
        <v>0</v>
      </c>
      <c r="AJ1247" t="n">
        <v>2</v>
      </c>
      <c r="AK1247" t="n">
        <v>2</v>
      </c>
      <c r="AL1247" t="n">
        <v>1</v>
      </c>
      <c r="AM1247" t="n">
        <v>1</v>
      </c>
      <c r="AN1247" t="n">
        <v>0</v>
      </c>
      <c r="AO1247" t="n">
        <v>0</v>
      </c>
      <c r="AP1247" t="n">
        <v>0</v>
      </c>
      <c r="AQ1247" t="n">
        <v>0</v>
      </c>
      <c r="AR1247" t="inlineStr">
        <is>
          <t>No</t>
        </is>
      </c>
      <c r="AS1247" t="inlineStr">
        <is>
          <t>Yes</t>
        </is>
      </c>
      <c r="AT1247">
        <f>HYPERLINK("http://catalog.hathitrust.org/Record/006716988","HathiTrust Record")</f>
        <v/>
      </c>
      <c r="AU1247">
        <f>HYPERLINK("https://creighton-primo.hosted.exlibrisgroup.com/primo-explore/search?tab=default_tab&amp;search_scope=EVERYTHING&amp;vid=01CRU&amp;lang=en_US&amp;offset=0&amp;query=any,contains,991004340459702656","Catalog Record")</f>
        <v/>
      </c>
      <c r="AV1247">
        <f>HYPERLINK("http://www.worldcat.org/oclc/12616621","WorldCat Record")</f>
        <v/>
      </c>
      <c r="AW1247" t="inlineStr">
        <is>
          <t>5105064:spa</t>
        </is>
      </c>
      <c r="AX1247" t="inlineStr">
        <is>
          <t>12616621</t>
        </is>
      </c>
      <c r="AY1247" t="inlineStr">
        <is>
          <t>991004340459702656</t>
        </is>
      </c>
      <c r="AZ1247" t="inlineStr">
        <is>
          <t>991004340459702656</t>
        </is>
      </c>
      <c r="BA1247" t="inlineStr">
        <is>
          <t>2263244540002656</t>
        </is>
      </c>
      <c r="BB1247" t="inlineStr">
        <is>
          <t>BOOK</t>
        </is>
      </c>
      <c r="BE1247" t="inlineStr">
        <is>
          <t>32285004929872</t>
        </is>
      </c>
      <c r="BF1247" t="inlineStr">
        <is>
          <t>893875982</t>
        </is>
      </c>
    </row>
    <row r="1248">
      <c r="A1248" t="inlineStr">
        <is>
          <t>No</t>
        </is>
      </c>
      <c r="B1248" t="inlineStr">
        <is>
          <t>CURAL</t>
        </is>
      </c>
      <c r="C1248" t="inlineStr">
        <is>
          <t>SHELVES</t>
        </is>
      </c>
      <c r="D1248" t="inlineStr">
        <is>
          <t>PQ8549.G38 C38 1995</t>
        </is>
      </c>
      <c r="E1248" t="inlineStr">
        <is>
          <t>0                      PQ 8549000G  38                 C  38          1995</t>
        </is>
      </c>
      <c r="F1248" t="inlineStr">
        <is>
          <t>La casa del tiempo : cuentos / Salvador Garmendia.</t>
        </is>
      </c>
      <c r="H1248" t="inlineStr">
        <is>
          <t>No</t>
        </is>
      </c>
      <c r="I1248" t="inlineStr">
        <is>
          <t>1</t>
        </is>
      </c>
      <c r="J1248" t="inlineStr">
        <is>
          <t>No</t>
        </is>
      </c>
      <c r="K1248" t="inlineStr">
        <is>
          <t>No</t>
        </is>
      </c>
      <c r="L1248" t="inlineStr">
        <is>
          <t>0</t>
        </is>
      </c>
      <c r="M1248" t="inlineStr">
        <is>
          <t>Garmendia, Salvador.</t>
        </is>
      </c>
      <c r="N1248" t="inlineStr">
        <is>
          <t>[Caracas] : Grijalbo Mondadori, c1995.</t>
        </is>
      </c>
      <c r="O1248" t="inlineStr">
        <is>
          <t>1995</t>
        </is>
      </c>
      <c r="Q1248" t="inlineStr">
        <is>
          <t>spa</t>
        </is>
      </c>
      <c r="R1248" t="inlineStr">
        <is>
          <t xml:space="preserve">ve </t>
        </is>
      </c>
      <c r="S1248" t="inlineStr">
        <is>
          <t>Colección La Tuna de oro</t>
        </is>
      </c>
      <c r="T1248" t="inlineStr">
        <is>
          <t xml:space="preserve">PQ </t>
        </is>
      </c>
      <c r="U1248" t="n">
        <v>3</v>
      </c>
      <c r="V1248" t="n">
        <v>3</v>
      </c>
      <c r="W1248" t="inlineStr">
        <is>
          <t>2005-05-10</t>
        </is>
      </c>
      <c r="X1248" t="inlineStr">
        <is>
          <t>2005-05-10</t>
        </is>
      </c>
      <c r="Y1248" t="inlineStr">
        <is>
          <t>2004-08-04</t>
        </is>
      </c>
      <c r="Z1248" t="inlineStr">
        <is>
          <t>2004-08-04</t>
        </is>
      </c>
      <c r="AA1248" t="n">
        <v>53</v>
      </c>
      <c r="AB1248" t="n">
        <v>49</v>
      </c>
      <c r="AC1248" t="n">
        <v>57</v>
      </c>
      <c r="AD1248" t="n">
        <v>1</v>
      </c>
      <c r="AE1248" t="n">
        <v>1</v>
      </c>
      <c r="AF1248" t="n">
        <v>4</v>
      </c>
      <c r="AG1248" t="n">
        <v>4</v>
      </c>
      <c r="AH1248" t="n">
        <v>2</v>
      </c>
      <c r="AI1248" t="n">
        <v>2</v>
      </c>
      <c r="AJ1248" t="n">
        <v>2</v>
      </c>
      <c r="AK1248" t="n">
        <v>2</v>
      </c>
      <c r="AL1248" t="n">
        <v>3</v>
      </c>
      <c r="AM1248" t="n">
        <v>3</v>
      </c>
      <c r="AN1248" t="n">
        <v>0</v>
      </c>
      <c r="AO1248" t="n">
        <v>0</v>
      </c>
      <c r="AP1248" t="n">
        <v>0</v>
      </c>
      <c r="AQ1248" t="n">
        <v>0</v>
      </c>
      <c r="AR1248" t="inlineStr">
        <is>
          <t>No</t>
        </is>
      </c>
      <c r="AS1248" t="inlineStr">
        <is>
          <t>Yes</t>
        </is>
      </c>
      <c r="AT1248">
        <f>HYPERLINK("http://catalog.hathitrust.org/Record/101164149","HathiTrust Record")</f>
        <v/>
      </c>
      <c r="AU1248">
        <f>HYPERLINK("https://creighton-primo.hosted.exlibrisgroup.com/primo-explore/search?tab=default_tab&amp;search_scope=EVERYTHING&amp;vid=01CRU&amp;lang=en_US&amp;offset=0&amp;query=any,contains,991004335829702656","Catalog Record")</f>
        <v/>
      </c>
      <c r="AV1248">
        <f>HYPERLINK("http://www.worldcat.org/oclc/36582215","WorldCat Record")</f>
        <v/>
      </c>
      <c r="AW1248" t="inlineStr">
        <is>
          <t>476001038:spa</t>
        </is>
      </c>
      <c r="AX1248" t="inlineStr">
        <is>
          <t>36582215</t>
        </is>
      </c>
      <c r="AY1248" t="inlineStr">
        <is>
          <t>991004335829702656</t>
        </is>
      </c>
      <c r="AZ1248" t="inlineStr">
        <is>
          <t>991004335829702656</t>
        </is>
      </c>
      <c r="BA1248" t="inlineStr">
        <is>
          <t>2263301110002656</t>
        </is>
      </c>
      <c r="BB1248" t="inlineStr">
        <is>
          <t>BOOK</t>
        </is>
      </c>
      <c r="BD1248" t="inlineStr">
        <is>
          <t>9789802931972</t>
        </is>
      </c>
      <c r="BE1248" t="inlineStr">
        <is>
          <t>32285004928247</t>
        </is>
      </c>
      <c r="BF1248" t="inlineStr">
        <is>
          <t>893519522</t>
        </is>
      </c>
    </row>
    <row r="1249">
      <c r="A1249" t="inlineStr">
        <is>
          <t>No</t>
        </is>
      </c>
      <c r="B1249" t="inlineStr">
        <is>
          <t>CURAL</t>
        </is>
      </c>
      <c r="C1249" t="inlineStr">
        <is>
          <t>SHELVES</t>
        </is>
      </c>
      <c r="D1249" t="inlineStr">
        <is>
          <t>PQ8549.G38 D53 1973</t>
        </is>
      </c>
      <c r="E1249" t="inlineStr">
        <is>
          <t>0                      PQ 8549000G  38                 D  53          1973</t>
        </is>
      </c>
      <c r="F1249" t="inlineStr">
        <is>
          <t>Día de ceniza / Salvador Garmendia.</t>
        </is>
      </c>
      <c r="H1249" t="inlineStr">
        <is>
          <t>No</t>
        </is>
      </c>
      <c r="I1249" t="inlineStr">
        <is>
          <t>1</t>
        </is>
      </c>
      <c r="J1249" t="inlineStr">
        <is>
          <t>No</t>
        </is>
      </c>
      <c r="K1249" t="inlineStr">
        <is>
          <t>No</t>
        </is>
      </c>
      <c r="L1249" t="inlineStr">
        <is>
          <t>0</t>
        </is>
      </c>
      <c r="M1249" t="inlineStr">
        <is>
          <t>Garmendia, Salvador.</t>
        </is>
      </c>
      <c r="N1249" t="inlineStr">
        <is>
          <t>Barcelona, Spain : Círculo de Lectores, 1973.</t>
        </is>
      </c>
      <c r="O1249" t="inlineStr">
        <is>
          <t>1973</t>
        </is>
      </c>
      <c r="Q1249" t="inlineStr">
        <is>
          <t>spa</t>
        </is>
      </c>
      <c r="R1249" t="inlineStr">
        <is>
          <t xml:space="preserve">sp </t>
        </is>
      </c>
      <c r="T1249" t="inlineStr">
        <is>
          <t xml:space="preserve">PQ </t>
        </is>
      </c>
      <c r="U1249" t="n">
        <v>1</v>
      </c>
      <c r="V1249" t="n">
        <v>1</v>
      </c>
      <c r="W1249" t="inlineStr">
        <is>
          <t>2002-12-18</t>
        </is>
      </c>
      <c r="X1249" t="inlineStr">
        <is>
          <t>2002-12-18</t>
        </is>
      </c>
      <c r="Y1249" t="inlineStr">
        <is>
          <t>2002-12-03</t>
        </is>
      </c>
      <c r="Z1249" t="inlineStr">
        <is>
          <t>2002-12-03</t>
        </is>
      </c>
      <c r="AA1249" t="n">
        <v>1</v>
      </c>
      <c r="AB1249" t="n">
        <v>1</v>
      </c>
      <c r="AC1249" t="n">
        <v>173</v>
      </c>
      <c r="AD1249" t="n">
        <v>1</v>
      </c>
      <c r="AE1249" t="n">
        <v>2</v>
      </c>
      <c r="AF1249" t="n">
        <v>0</v>
      </c>
      <c r="AG1249" t="n">
        <v>5</v>
      </c>
      <c r="AH1249" t="n">
        <v>0</v>
      </c>
      <c r="AI1249" t="n">
        <v>0</v>
      </c>
      <c r="AJ1249" t="n">
        <v>0</v>
      </c>
      <c r="AK1249" t="n">
        <v>3</v>
      </c>
      <c r="AL1249" t="n">
        <v>0</v>
      </c>
      <c r="AM1249" t="n">
        <v>2</v>
      </c>
      <c r="AN1249" t="n">
        <v>0</v>
      </c>
      <c r="AO1249" t="n">
        <v>1</v>
      </c>
      <c r="AP1249" t="n">
        <v>0</v>
      </c>
      <c r="AQ1249" t="n">
        <v>0</v>
      </c>
      <c r="AR1249" t="inlineStr">
        <is>
          <t>No</t>
        </is>
      </c>
      <c r="AS1249" t="inlineStr">
        <is>
          <t>No</t>
        </is>
      </c>
      <c r="AU1249">
        <f>HYPERLINK("https://creighton-primo.hosted.exlibrisgroup.com/primo-explore/search?tab=default_tab&amp;search_scope=EVERYTHING&amp;vid=01CRU&amp;lang=en_US&amp;offset=0&amp;query=any,contains,991003953679702656","Catalog Record")</f>
        <v/>
      </c>
      <c r="AV1249">
        <f>HYPERLINK("http://www.worldcat.org/oclc/51063449","WorldCat Record")</f>
        <v/>
      </c>
      <c r="AW1249" t="inlineStr">
        <is>
          <t>318782493:spa</t>
        </is>
      </c>
      <c r="AX1249" t="inlineStr">
        <is>
          <t>51063449</t>
        </is>
      </c>
      <c r="AY1249" t="inlineStr">
        <is>
          <t>991003953679702656</t>
        </is>
      </c>
      <c r="AZ1249" t="inlineStr">
        <is>
          <t>991003953679702656</t>
        </is>
      </c>
      <c r="BA1249" t="inlineStr">
        <is>
          <t>2261803350002656</t>
        </is>
      </c>
      <c r="BB1249" t="inlineStr">
        <is>
          <t>BOOK</t>
        </is>
      </c>
      <c r="BD1249" t="inlineStr">
        <is>
          <t>9788422604150</t>
        </is>
      </c>
      <c r="BE1249" t="inlineStr">
        <is>
          <t>32285004631205</t>
        </is>
      </c>
      <c r="BF1249" t="inlineStr">
        <is>
          <t>893599245</t>
        </is>
      </c>
    </row>
    <row r="1250">
      <c r="A1250" t="inlineStr">
        <is>
          <t>No</t>
        </is>
      </c>
      <c r="B1250" t="inlineStr">
        <is>
          <t>CURAL</t>
        </is>
      </c>
      <c r="C1250" t="inlineStr">
        <is>
          <t>SHELVES</t>
        </is>
      </c>
      <c r="D1250" t="inlineStr">
        <is>
          <t>PQ8549.G38 M4 1974</t>
        </is>
      </c>
      <c r="E1250" t="inlineStr">
        <is>
          <t>0                      PQ 8549000G  38                 M  4           1974</t>
        </is>
      </c>
      <c r="F1250" t="inlineStr">
        <is>
          <t>Memorias de Altagracia / Salvador Garmendia.</t>
        </is>
      </c>
      <c r="H1250" t="inlineStr">
        <is>
          <t>No</t>
        </is>
      </c>
      <c r="I1250" t="inlineStr">
        <is>
          <t>1</t>
        </is>
      </c>
      <c r="J1250" t="inlineStr">
        <is>
          <t>No</t>
        </is>
      </c>
      <c r="K1250" t="inlineStr">
        <is>
          <t>Yes</t>
        </is>
      </c>
      <c r="L1250" t="inlineStr">
        <is>
          <t>0</t>
        </is>
      </c>
      <c r="M1250" t="inlineStr">
        <is>
          <t>Garmendia, Salvador.</t>
        </is>
      </c>
      <c r="N1250" t="inlineStr">
        <is>
          <t>Barcelona : Barral, 1974.</t>
        </is>
      </c>
      <c r="O1250" t="inlineStr">
        <is>
          <t>1974</t>
        </is>
      </c>
      <c r="P1250" t="inlineStr">
        <is>
          <t>[1. ed.]</t>
        </is>
      </c>
      <c r="Q1250" t="inlineStr">
        <is>
          <t>spa</t>
        </is>
      </c>
      <c r="R1250" t="inlineStr">
        <is>
          <t xml:space="preserve">sp </t>
        </is>
      </c>
      <c r="S1250" t="inlineStr">
        <is>
          <t>Hispánica nova ; 93</t>
        </is>
      </c>
      <c r="T1250" t="inlineStr">
        <is>
          <t xml:space="preserve">PQ </t>
        </is>
      </c>
      <c r="U1250" t="n">
        <v>1</v>
      </c>
      <c r="V1250" t="n">
        <v>1</v>
      </c>
      <c r="W1250" t="inlineStr">
        <is>
          <t>2002-02-19</t>
        </is>
      </c>
      <c r="X1250" t="inlineStr">
        <is>
          <t>2002-02-19</t>
        </is>
      </c>
      <c r="Y1250" t="inlineStr">
        <is>
          <t>2002-02-19</t>
        </is>
      </c>
      <c r="Z1250" t="inlineStr">
        <is>
          <t>2002-02-19</t>
        </is>
      </c>
      <c r="AA1250" t="n">
        <v>128</v>
      </c>
      <c r="AB1250" t="n">
        <v>106</v>
      </c>
      <c r="AC1250" t="n">
        <v>206</v>
      </c>
      <c r="AD1250" t="n">
        <v>2</v>
      </c>
      <c r="AE1250" t="n">
        <v>2</v>
      </c>
      <c r="AF1250" t="n">
        <v>2</v>
      </c>
      <c r="AG1250" t="n">
        <v>5</v>
      </c>
      <c r="AH1250" t="n">
        <v>0</v>
      </c>
      <c r="AI1250" t="n">
        <v>3</v>
      </c>
      <c r="AJ1250" t="n">
        <v>1</v>
      </c>
      <c r="AK1250" t="n">
        <v>2</v>
      </c>
      <c r="AL1250" t="n">
        <v>1</v>
      </c>
      <c r="AM1250" t="n">
        <v>3</v>
      </c>
      <c r="AN1250" t="n">
        <v>1</v>
      </c>
      <c r="AO1250" t="n">
        <v>1</v>
      </c>
      <c r="AP1250" t="n">
        <v>0</v>
      </c>
      <c r="AQ1250" t="n">
        <v>0</v>
      </c>
      <c r="AR1250" t="inlineStr">
        <is>
          <t>No</t>
        </is>
      </c>
      <c r="AS1250" t="inlineStr">
        <is>
          <t>Yes</t>
        </is>
      </c>
      <c r="AT1250">
        <f>HYPERLINK("http://catalog.hathitrust.org/Record/001051497","HathiTrust Record")</f>
        <v/>
      </c>
      <c r="AU1250">
        <f>HYPERLINK("https://creighton-primo.hosted.exlibrisgroup.com/primo-explore/search?tab=default_tab&amp;search_scope=EVERYTHING&amp;vid=01CRU&amp;lang=en_US&amp;offset=0&amp;query=any,contains,991003740219702656","Catalog Record")</f>
        <v/>
      </c>
      <c r="AV1250">
        <f>HYPERLINK("http://www.worldcat.org/oclc/1168787","WorldCat Record")</f>
        <v/>
      </c>
      <c r="AW1250" t="inlineStr">
        <is>
          <t>2108277:spa</t>
        </is>
      </c>
      <c r="AX1250" t="inlineStr">
        <is>
          <t>1168787</t>
        </is>
      </c>
      <c r="AY1250" t="inlineStr">
        <is>
          <t>991003740219702656</t>
        </is>
      </c>
      <c r="AZ1250" t="inlineStr">
        <is>
          <t>991003740219702656</t>
        </is>
      </c>
      <c r="BA1250" t="inlineStr">
        <is>
          <t>2265270770002656</t>
        </is>
      </c>
      <c r="BB1250" t="inlineStr">
        <is>
          <t>BOOK</t>
        </is>
      </c>
      <c r="BD1250" t="inlineStr">
        <is>
          <t>9788421102930</t>
        </is>
      </c>
      <c r="BE1250" t="inlineStr">
        <is>
          <t>32285004454723</t>
        </is>
      </c>
      <c r="BF1250" t="inlineStr">
        <is>
          <t>893262896</t>
        </is>
      </c>
    </row>
    <row r="1251">
      <c r="A1251" t="inlineStr">
        <is>
          <t>No</t>
        </is>
      </c>
      <c r="B1251" t="inlineStr">
        <is>
          <t>CURAL</t>
        </is>
      </c>
      <c r="C1251" t="inlineStr">
        <is>
          <t>SHELVES</t>
        </is>
      </c>
      <c r="D1251" t="inlineStr">
        <is>
          <t>PQ8549.G38 P4 1977</t>
        </is>
      </c>
      <c r="E1251" t="inlineStr">
        <is>
          <t>0                      PQ 8549000G  38                 P  4           1977</t>
        </is>
      </c>
      <c r="F1251" t="inlineStr">
        <is>
          <t>Los pequeños seres : Los habitantes / Salvador Garmendia.</t>
        </is>
      </c>
      <c r="H1251" t="inlineStr">
        <is>
          <t>No</t>
        </is>
      </c>
      <c r="I1251" t="inlineStr">
        <is>
          <t>1</t>
        </is>
      </c>
      <c r="J1251" t="inlineStr">
        <is>
          <t>No</t>
        </is>
      </c>
      <c r="K1251" t="inlineStr">
        <is>
          <t>No</t>
        </is>
      </c>
      <c r="L1251" t="inlineStr">
        <is>
          <t>0</t>
        </is>
      </c>
      <c r="M1251" t="inlineStr">
        <is>
          <t>Garmendia, Salvador.</t>
        </is>
      </c>
      <c r="N1251" t="inlineStr">
        <is>
          <t>Caracas : Monte Avila Editores, [1977]</t>
        </is>
      </c>
      <c r="O1251" t="inlineStr">
        <is>
          <t>1977</t>
        </is>
      </c>
      <c r="Q1251" t="inlineStr">
        <is>
          <t>spa</t>
        </is>
      </c>
      <c r="R1251" t="inlineStr">
        <is>
          <t xml:space="preserve">ve </t>
        </is>
      </c>
      <c r="S1251" t="inlineStr">
        <is>
          <t>Colección Letra viva</t>
        </is>
      </c>
      <c r="T1251" t="inlineStr">
        <is>
          <t xml:space="preserve">PQ </t>
        </is>
      </c>
      <c r="U1251" t="n">
        <v>1</v>
      </c>
      <c r="V1251" t="n">
        <v>1</v>
      </c>
      <c r="W1251" t="inlineStr">
        <is>
          <t>2002-02-19</t>
        </is>
      </c>
      <c r="X1251" t="inlineStr">
        <is>
          <t>2002-02-19</t>
        </is>
      </c>
      <c r="Y1251" t="inlineStr">
        <is>
          <t>2002-02-19</t>
        </is>
      </c>
      <c r="Z1251" t="inlineStr">
        <is>
          <t>2002-02-19</t>
        </is>
      </c>
      <c r="AA1251" t="n">
        <v>51</v>
      </c>
      <c r="AB1251" t="n">
        <v>34</v>
      </c>
      <c r="AC1251" t="n">
        <v>50</v>
      </c>
      <c r="AD1251" t="n">
        <v>1</v>
      </c>
      <c r="AE1251" t="n">
        <v>1</v>
      </c>
      <c r="AF1251" t="n">
        <v>1</v>
      </c>
      <c r="AG1251" t="n">
        <v>3</v>
      </c>
      <c r="AH1251" t="n">
        <v>0</v>
      </c>
      <c r="AI1251" t="n">
        <v>0</v>
      </c>
      <c r="AJ1251" t="n">
        <v>1</v>
      </c>
      <c r="AK1251" t="n">
        <v>2</v>
      </c>
      <c r="AL1251" t="n">
        <v>0</v>
      </c>
      <c r="AM1251" t="n">
        <v>2</v>
      </c>
      <c r="AN1251" t="n">
        <v>0</v>
      </c>
      <c r="AO1251" t="n">
        <v>0</v>
      </c>
      <c r="AP1251" t="n">
        <v>0</v>
      </c>
      <c r="AQ1251" t="n">
        <v>0</v>
      </c>
      <c r="AR1251" t="inlineStr">
        <is>
          <t>No</t>
        </is>
      </c>
      <c r="AS1251" t="inlineStr">
        <is>
          <t>Yes</t>
        </is>
      </c>
      <c r="AT1251">
        <f>HYPERLINK("http://catalog.hathitrust.org/Record/007490296","HathiTrust Record")</f>
        <v/>
      </c>
      <c r="AU1251">
        <f>HYPERLINK("https://creighton-primo.hosted.exlibrisgroup.com/primo-explore/search?tab=default_tab&amp;search_scope=EVERYTHING&amp;vid=01CRU&amp;lang=en_US&amp;offset=0&amp;query=any,contains,991003739589702656","Catalog Record")</f>
        <v/>
      </c>
      <c r="AV1251">
        <f>HYPERLINK("http://www.worldcat.org/oclc/5616049","WorldCat Record")</f>
        <v/>
      </c>
      <c r="AW1251" t="inlineStr">
        <is>
          <t>3943311110:spa</t>
        </is>
      </c>
      <c r="AX1251" t="inlineStr">
        <is>
          <t>5616049</t>
        </is>
      </c>
      <c r="AY1251" t="inlineStr">
        <is>
          <t>991003739589702656</t>
        </is>
      </c>
      <c r="AZ1251" t="inlineStr">
        <is>
          <t>991003739589702656</t>
        </is>
      </c>
      <c r="BA1251" t="inlineStr">
        <is>
          <t>2260925380002656</t>
        </is>
      </c>
      <c r="BB1251" t="inlineStr">
        <is>
          <t>BOOK</t>
        </is>
      </c>
      <c r="BD1251" t="inlineStr">
        <is>
          <t>9789800100097</t>
        </is>
      </c>
      <c r="BE1251" t="inlineStr">
        <is>
          <t>32285004455050</t>
        </is>
      </c>
      <c r="BF1251" t="inlineStr">
        <is>
          <t>893342944</t>
        </is>
      </c>
    </row>
    <row r="1252">
      <c r="A1252" t="inlineStr">
        <is>
          <t>No</t>
        </is>
      </c>
      <c r="B1252" t="inlineStr">
        <is>
          <t>CURAL</t>
        </is>
      </c>
      <c r="C1252" t="inlineStr">
        <is>
          <t>SHELVES</t>
        </is>
      </c>
      <c r="D1252" t="inlineStr">
        <is>
          <t>PQ8549.G7 A5 1970</t>
        </is>
      </c>
      <c r="E1252" t="inlineStr">
        <is>
          <t>0                      PQ 8549000G  7                  A  5           1970</t>
        </is>
      </c>
      <c r="F1252" t="inlineStr">
        <is>
          <t>La andanza y el hallazgo : antología / Ida Gramcko.</t>
        </is>
      </c>
      <c r="H1252" t="inlineStr">
        <is>
          <t>No</t>
        </is>
      </c>
      <c r="I1252" t="inlineStr">
        <is>
          <t>1</t>
        </is>
      </c>
      <c r="J1252" t="inlineStr">
        <is>
          <t>No</t>
        </is>
      </c>
      <c r="K1252" t="inlineStr">
        <is>
          <t>No</t>
        </is>
      </c>
      <c r="L1252" t="inlineStr">
        <is>
          <t>0</t>
        </is>
      </c>
      <c r="M1252" t="inlineStr">
        <is>
          <t>Gramcko, Ida.</t>
        </is>
      </c>
      <c r="N1252" t="inlineStr">
        <is>
          <t>[Caracas] : Monte Avila Editores, [c1970]</t>
        </is>
      </c>
      <c r="O1252" t="inlineStr">
        <is>
          <t>1970</t>
        </is>
      </c>
      <c r="Q1252" t="inlineStr">
        <is>
          <t>spa</t>
        </is>
      </c>
      <c r="R1252" t="inlineStr">
        <is>
          <t xml:space="preserve">ve </t>
        </is>
      </c>
      <c r="S1252" t="inlineStr">
        <is>
          <t>Colección Altazar</t>
        </is>
      </c>
      <c r="T1252" t="inlineStr">
        <is>
          <t xml:space="preserve">PQ </t>
        </is>
      </c>
      <c r="U1252" t="n">
        <v>1</v>
      </c>
      <c r="V1252" t="n">
        <v>1</v>
      </c>
      <c r="W1252" t="inlineStr">
        <is>
          <t>2002-06-13</t>
        </is>
      </c>
      <c r="X1252" t="inlineStr">
        <is>
          <t>2002-06-13</t>
        </is>
      </c>
      <c r="Y1252" t="inlineStr">
        <is>
          <t>2002-06-13</t>
        </is>
      </c>
      <c r="Z1252" t="inlineStr">
        <is>
          <t>2002-06-13</t>
        </is>
      </c>
      <c r="AA1252" t="n">
        <v>18</v>
      </c>
      <c r="AB1252" t="n">
        <v>15</v>
      </c>
      <c r="AC1252" t="n">
        <v>16</v>
      </c>
      <c r="AD1252" t="n">
        <v>2</v>
      </c>
      <c r="AE1252" t="n">
        <v>2</v>
      </c>
      <c r="AF1252" t="n">
        <v>1</v>
      </c>
      <c r="AG1252" t="n">
        <v>1</v>
      </c>
      <c r="AH1252" t="n">
        <v>0</v>
      </c>
      <c r="AI1252" t="n">
        <v>0</v>
      </c>
      <c r="AJ1252" t="n">
        <v>0</v>
      </c>
      <c r="AK1252" t="n">
        <v>0</v>
      </c>
      <c r="AL1252" t="n">
        <v>0</v>
      </c>
      <c r="AM1252" t="n">
        <v>0</v>
      </c>
      <c r="AN1252" t="n">
        <v>1</v>
      </c>
      <c r="AO1252" t="n">
        <v>1</v>
      </c>
      <c r="AP1252" t="n">
        <v>0</v>
      </c>
      <c r="AQ1252" t="n">
        <v>0</v>
      </c>
      <c r="AR1252" t="inlineStr">
        <is>
          <t>No</t>
        </is>
      </c>
      <c r="AS1252" t="inlineStr">
        <is>
          <t>No</t>
        </is>
      </c>
      <c r="AU1252">
        <f>HYPERLINK("https://creighton-primo.hosted.exlibrisgroup.com/primo-explore/search?tab=default_tab&amp;search_scope=EVERYTHING&amp;vid=01CRU&amp;lang=en_US&amp;offset=0&amp;query=any,contains,991003818469702656","Catalog Record")</f>
        <v/>
      </c>
      <c r="AV1252">
        <f>HYPERLINK("http://www.worldcat.org/oclc/1191990","WorldCat Record")</f>
        <v/>
      </c>
      <c r="AW1252" t="inlineStr">
        <is>
          <t>367193532:spa</t>
        </is>
      </c>
      <c r="AX1252" t="inlineStr">
        <is>
          <t>1191990</t>
        </is>
      </c>
      <c r="AY1252" t="inlineStr">
        <is>
          <t>991003818469702656</t>
        </is>
      </c>
      <c r="AZ1252" t="inlineStr">
        <is>
          <t>991003818469702656</t>
        </is>
      </c>
      <c r="BA1252" t="inlineStr">
        <is>
          <t>2261903990002656</t>
        </is>
      </c>
      <c r="BB1252" t="inlineStr">
        <is>
          <t>BOOK</t>
        </is>
      </c>
      <c r="BE1252" t="inlineStr">
        <is>
          <t>32285004494083</t>
        </is>
      </c>
      <c r="BF1252" t="inlineStr">
        <is>
          <t>893349184</t>
        </is>
      </c>
    </row>
    <row r="1253">
      <c r="A1253" t="inlineStr">
        <is>
          <t>No</t>
        </is>
      </c>
      <c r="B1253" t="inlineStr">
        <is>
          <t>CURAL</t>
        </is>
      </c>
      <c r="C1253" t="inlineStr">
        <is>
          <t>SHELVES</t>
        </is>
      </c>
      <c r="D1253" t="inlineStr">
        <is>
          <t>PQ8549.G7 S34 1985</t>
        </is>
      </c>
      <c r="E1253" t="inlineStr">
        <is>
          <t>0                      PQ 8549000G  7                  S  34          1985</t>
        </is>
      </c>
      <c r="F1253" t="inlineStr">
        <is>
          <t>Salto angel : poemas / Ida Gramcko.</t>
        </is>
      </c>
      <c r="H1253" t="inlineStr">
        <is>
          <t>No</t>
        </is>
      </c>
      <c r="I1253" t="inlineStr">
        <is>
          <t>1</t>
        </is>
      </c>
      <c r="J1253" t="inlineStr">
        <is>
          <t>No</t>
        </is>
      </c>
      <c r="K1253" t="inlineStr">
        <is>
          <t>No</t>
        </is>
      </c>
      <c r="L1253" t="inlineStr">
        <is>
          <t>0</t>
        </is>
      </c>
      <c r="M1253" t="inlineStr">
        <is>
          <t>Gramcko, Ida.</t>
        </is>
      </c>
      <c r="N1253" t="inlineStr">
        <is>
          <t>Caracas : Fundarte, 1985.</t>
        </is>
      </c>
      <c r="O1253" t="inlineStr">
        <is>
          <t>1985</t>
        </is>
      </c>
      <c r="Q1253" t="inlineStr">
        <is>
          <t>spa</t>
        </is>
      </c>
      <c r="R1253" t="inlineStr">
        <is>
          <t xml:space="preserve">ve </t>
        </is>
      </c>
      <c r="S1253" t="inlineStr">
        <is>
          <t>Colección Delta ; no. 16</t>
        </is>
      </c>
      <c r="T1253" t="inlineStr">
        <is>
          <t xml:space="preserve">PQ </t>
        </is>
      </c>
      <c r="U1253" t="n">
        <v>1</v>
      </c>
      <c r="V1253" t="n">
        <v>1</v>
      </c>
      <c r="W1253" t="inlineStr">
        <is>
          <t>2002-06-03</t>
        </is>
      </c>
      <c r="X1253" t="inlineStr">
        <is>
          <t>2002-06-03</t>
        </is>
      </c>
      <c r="Y1253" t="inlineStr">
        <is>
          <t>2002-05-23</t>
        </is>
      </c>
      <c r="Z1253" t="inlineStr">
        <is>
          <t>2002-05-23</t>
        </is>
      </c>
      <c r="AA1253" t="n">
        <v>12</v>
      </c>
      <c r="AB1253" t="n">
        <v>9</v>
      </c>
      <c r="AC1253" t="n">
        <v>37</v>
      </c>
      <c r="AD1253" t="n">
        <v>1</v>
      </c>
      <c r="AE1253" t="n">
        <v>1</v>
      </c>
      <c r="AF1253" t="n">
        <v>0</v>
      </c>
      <c r="AG1253" t="n">
        <v>2</v>
      </c>
      <c r="AH1253" t="n">
        <v>0</v>
      </c>
      <c r="AI1253" t="n">
        <v>1</v>
      </c>
      <c r="AJ1253" t="n">
        <v>0</v>
      </c>
      <c r="AK1253" t="n">
        <v>0</v>
      </c>
      <c r="AL1253" t="n">
        <v>0</v>
      </c>
      <c r="AM1253" t="n">
        <v>1</v>
      </c>
      <c r="AN1253" t="n">
        <v>0</v>
      </c>
      <c r="AO1253" t="n">
        <v>0</v>
      </c>
      <c r="AP1253" t="n">
        <v>0</v>
      </c>
      <c r="AQ1253" t="n">
        <v>0</v>
      </c>
      <c r="AR1253" t="inlineStr">
        <is>
          <t>No</t>
        </is>
      </c>
      <c r="AS1253" t="inlineStr">
        <is>
          <t>Yes</t>
        </is>
      </c>
      <c r="AT1253">
        <f>HYPERLINK("http://catalog.hathitrust.org/Record/101164191","HathiTrust Record")</f>
        <v/>
      </c>
      <c r="AU1253">
        <f>HYPERLINK("https://creighton-primo.hosted.exlibrisgroup.com/primo-explore/search?tab=default_tab&amp;search_scope=EVERYTHING&amp;vid=01CRU&amp;lang=en_US&amp;offset=0&amp;query=any,contains,991003813729702656","Catalog Record")</f>
        <v/>
      </c>
      <c r="AV1253">
        <f>HYPERLINK("http://www.worldcat.org/oclc/14173906","WorldCat Record")</f>
        <v/>
      </c>
      <c r="AW1253" t="inlineStr">
        <is>
          <t>475279440:spa</t>
        </is>
      </c>
      <c r="AX1253" t="inlineStr">
        <is>
          <t>14173906</t>
        </is>
      </c>
      <c r="AY1253" t="inlineStr">
        <is>
          <t>991003813729702656</t>
        </is>
      </c>
      <c r="AZ1253" t="inlineStr">
        <is>
          <t>991003813729702656</t>
        </is>
      </c>
      <c r="BA1253" t="inlineStr">
        <is>
          <t>2261709660002656</t>
        </is>
      </c>
      <c r="BB1253" t="inlineStr">
        <is>
          <t>BOOK</t>
        </is>
      </c>
      <c r="BE1253" t="inlineStr">
        <is>
          <t>32285004490057</t>
        </is>
      </c>
      <c r="BF1253" t="inlineStr">
        <is>
          <t>893228497</t>
        </is>
      </c>
    </row>
    <row r="1254">
      <c r="A1254" t="inlineStr">
        <is>
          <t>No</t>
        </is>
      </c>
      <c r="B1254" t="inlineStr">
        <is>
          <t>CURAL</t>
        </is>
      </c>
      <c r="C1254" t="inlineStr">
        <is>
          <t>SHELVES</t>
        </is>
      </c>
      <c r="D1254" t="inlineStr">
        <is>
          <t>PQ8549.G7 S62 1972</t>
        </is>
      </c>
      <c r="E1254" t="inlineStr">
        <is>
          <t>0                      PQ 8549000G  7                  S  62          1972</t>
        </is>
      </c>
      <c r="F1254" t="inlineStr">
        <is>
          <t>Sonetos del origen / Ida Gramcko.</t>
        </is>
      </c>
      <c r="H1254" t="inlineStr">
        <is>
          <t>No</t>
        </is>
      </c>
      <c r="I1254" t="inlineStr">
        <is>
          <t>1</t>
        </is>
      </c>
      <c r="J1254" t="inlineStr">
        <is>
          <t>No</t>
        </is>
      </c>
      <c r="K1254" t="inlineStr">
        <is>
          <t>No</t>
        </is>
      </c>
      <c r="L1254" t="inlineStr">
        <is>
          <t>0</t>
        </is>
      </c>
      <c r="M1254" t="inlineStr">
        <is>
          <t>Gramcko, Ida.</t>
        </is>
      </c>
      <c r="N1254" t="inlineStr">
        <is>
          <t>[s.l. : s.n., 1972]</t>
        </is>
      </c>
      <c r="O1254" t="inlineStr">
        <is>
          <t>1972</t>
        </is>
      </c>
      <c r="Q1254" t="inlineStr">
        <is>
          <t>spa</t>
        </is>
      </c>
      <c r="R1254" t="inlineStr">
        <is>
          <t xml:space="preserve">xx </t>
        </is>
      </c>
      <c r="T1254" t="inlineStr">
        <is>
          <t xml:space="preserve">PQ </t>
        </is>
      </c>
      <c r="U1254" t="n">
        <v>1</v>
      </c>
      <c r="V1254" t="n">
        <v>1</v>
      </c>
      <c r="W1254" t="inlineStr">
        <is>
          <t>2002-06-03</t>
        </is>
      </c>
      <c r="X1254" t="inlineStr">
        <is>
          <t>2002-06-03</t>
        </is>
      </c>
      <c r="Y1254" t="inlineStr">
        <is>
          <t>2002-05-23</t>
        </is>
      </c>
      <c r="Z1254" t="inlineStr">
        <is>
          <t>2002-05-23</t>
        </is>
      </c>
      <c r="AA1254" t="n">
        <v>6</v>
      </c>
      <c r="AB1254" t="n">
        <v>5</v>
      </c>
      <c r="AC1254" t="n">
        <v>35</v>
      </c>
      <c r="AD1254" t="n">
        <v>1</v>
      </c>
      <c r="AE1254" t="n">
        <v>1</v>
      </c>
      <c r="AF1254" t="n">
        <v>0</v>
      </c>
      <c r="AG1254" t="n">
        <v>2</v>
      </c>
      <c r="AH1254" t="n">
        <v>0</v>
      </c>
      <c r="AI1254" t="n">
        <v>1</v>
      </c>
      <c r="AJ1254" t="n">
        <v>0</v>
      </c>
      <c r="AK1254" t="n">
        <v>0</v>
      </c>
      <c r="AL1254" t="n">
        <v>0</v>
      </c>
      <c r="AM1254" t="n">
        <v>1</v>
      </c>
      <c r="AN1254" t="n">
        <v>0</v>
      </c>
      <c r="AO1254" t="n">
        <v>0</v>
      </c>
      <c r="AP1254" t="n">
        <v>0</v>
      </c>
      <c r="AQ1254" t="n">
        <v>0</v>
      </c>
      <c r="AR1254" t="inlineStr">
        <is>
          <t>No</t>
        </is>
      </c>
      <c r="AS1254" t="inlineStr">
        <is>
          <t>No</t>
        </is>
      </c>
      <c r="AU1254">
        <f>HYPERLINK("https://creighton-primo.hosted.exlibrisgroup.com/primo-explore/search?tab=default_tab&amp;search_scope=EVERYTHING&amp;vid=01CRU&amp;lang=en_US&amp;offset=0&amp;query=any,contains,991003813969702656","Catalog Record")</f>
        <v/>
      </c>
      <c r="AV1254">
        <f>HYPERLINK("http://www.worldcat.org/oclc/2836112","WorldCat Record")</f>
        <v/>
      </c>
      <c r="AW1254" t="inlineStr">
        <is>
          <t>6475096:spa</t>
        </is>
      </c>
      <c r="AX1254" t="inlineStr">
        <is>
          <t>2836112</t>
        </is>
      </c>
      <c r="AY1254" t="inlineStr">
        <is>
          <t>991003813969702656</t>
        </is>
      </c>
      <c r="AZ1254" t="inlineStr">
        <is>
          <t>991003813969702656</t>
        </is>
      </c>
      <c r="BA1254" t="inlineStr">
        <is>
          <t>2264155190002656</t>
        </is>
      </c>
      <c r="BB1254" t="inlineStr">
        <is>
          <t>BOOK</t>
        </is>
      </c>
      <c r="BE1254" t="inlineStr">
        <is>
          <t>32285004490040</t>
        </is>
      </c>
      <c r="BF1254" t="inlineStr">
        <is>
          <t>893611478</t>
        </is>
      </c>
    </row>
    <row r="1255">
      <c r="A1255" t="inlineStr">
        <is>
          <t>No</t>
        </is>
      </c>
      <c r="B1255" t="inlineStr">
        <is>
          <t>CURAL</t>
        </is>
      </c>
      <c r="C1255" t="inlineStr">
        <is>
          <t>SHELVES</t>
        </is>
      </c>
      <c r="D1255" t="inlineStr">
        <is>
          <t>PQ8549.G77 A6 1965</t>
        </is>
      </c>
      <c r="E1255" t="inlineStr">
        <is>
          <t>0                      PQ 8549000G  77                 A  6           1965</t>
        </is>
      </c>
      <c r="F1255" t="inlineStr">
        <is>
          <t>Poesías / Jacinto Gutierrez Coll.</t>
        </is>
      </c>
      <c r="H1255" t="inlineStr">
        <is>
          <t>No</t>
        </is>
      </c>
      <c r="I1255" t="inlineStr">
        <is>
          <t>1</t>
        </is>
      </c>
      <c r="J1255" t="inlineStr">
        <is>
          <t>No</t>
        </is>
      </c>
      <c r="K1255" t="inlineStr">
        <is>
          <t>No</t>
        </is>
      </c>
      <c r="L1255" t="inlineStr">
        <is>
          <t>0</t>
        </is>
      </c>
      <c r="M1255" t="inlineStr">
        <is>
          <t>Gutiérrez Coll, Jacinto, 1836-1901.</t>
        </is>
      </c>
      <c r="N1255" t="inlineStr">
        <is>
          <t>Caracas : Ediciones Poesía de Venezuela, 1965.</t>
        </is>
      </c>
      <c r="O1255" t="inlineStr">
        <is>
          <t>1965</t>
        </is>
      </c>
      <c r="Q1255" t="inlineStr">
        <is>
          <t>spa</t>
        </is>
      </c>
      <c r="R1255" t="inlineStr">
        <is>
          <t xml:space="preserve">ve </t>
        </is>
      </c>
      <c r="S1255" t="inlineStr">
        <is>
          <t>Ediciones Poesía de Venezuela ; 10</t>
        </is>
      </c>
      <c r="T1255" t="inlineStr">
        <is>
          <t xml:space="preserve">PQ </t>
        </is>
      </c>
      <c r="U1255" t="n">
        <v>1</v>
      </c>
      <c r="V1255" t="n">
        <v>1</v>
      </c>
      <c r="W1255" t="inlineStr">
        <is>
          <t>2002-07-29</t>
        </is>
      </c>
      <c r="X1255" t="inlineStr">
        <is>
          <t>2002-07-29</t>
        </is>
      </c>
      <c r="Y1255" t="inlineStr">
        <is>
          <t>2002-07-29</t>
        </is>
      </c>
      <c r="Z1255" t="inlineStr">
        <is>
          <t>2002-07-29</t>
        </is>
      </c>
      <c r="AA1255" t="n">
        <v>28</v>
      </c>
      <c r="AB1255" t="n">
        <v>23</v>
      </c>
      <c r="AC1255" t="n">
        <v>25</v>
      </c>
      <c r="AD1255" t="n">
        <v>2</v>
      </c>
      <c r="AE1255" t="n">
        <v>2</v>
      </c>
      <c r="AF1255" t="n">
        <v>1</v>
      </c>
      <c r="AG1255" t="n">
        <v>1</v>
      </c>
      <c r="AH1255" t="n">
        <v>0</v>
      </c>
      <c r="AI1255" t="n">
        <v>0</v>
      </c>
      <c r="AJ1255" t="n">
        <v>0</v>
      </c>
      <c r="AK1255" t="n">
        <v>0</v>
      </c>
      <c r="AL1255" t="n">
        <v>0</v>
      </c>
      <c r="AM1255" t="n">
        <v>0</v>
      </c>
      <c r="AN1255" t="n">
        <v>1</v>
      </c>
      <c r="AO1255" t="n">
        <v>1</v>
      </c>
      <c r="AP1255" t="n">
        <v>0</v>
      </c>
      <c r="AQ1255" t="n">
        <v>0</v>
      </c>
      <c r="AR1255" t="inlineStr">
        <is>
          <t>No</t>
        </is>
      </c>
      <c r="AS1255" t="inlineStr">
        <is>
          <t>Yes</t>
        </is>
      </c>
      <c r="AT1255">
        <f>HYPERLINK("http://catalog.hathitrust.org/Record/008551883","HathiTrust Record")</f>
        <v/>
      </c>
      <c r="AU1255">
        <f>HYPERLINK("https://creighton-primo.hosted.exlibrisgroup.com/primo-explore/search?tab=default_tab&amp;search_scope=EVERYTHING&amp;vid=01CRU&amp;lang=en_US&amp;offset=0&amp;query=any,contains,991003846909702656","Catalog Record")</f>
        <v/>
      </c>
      <c r="AV1255">
        <f>HYPERLINK("http://www.worldcat.org/oclc/2757058","WorldCat Record")</f>
        <v/>
      </c>
      <c r="AW1255" t="inlineStr">
        <is>
          <t>147893875:spa</t>
        </is>
      </c>
      <c r="AX1255" t="inlineStr">
        <is>
          <t>2757058</t>
        </is>
      </c>
      <c r="AY1255" t="inlineStr">
        <is>
          <t>991003846909702656</t>
        </is>
      </c>
      <c r="AZ1255" t="inlineStr">
        <is>
          <t>991003846909702656</t>
        </is>
      </c>
      <c r="BA1255" t="inlineStr">
        <is>
          <t>2261051340002656</t>
        </is>
      </c>
      <c r="BB1255" t="inlineStr">
        <is>
          <t>BOOK</t>
        </is>
      </c>
      <c r="BE1255" t="inlineStr">
        <is>
          <t>32285004640024</t>
        </is>
      </c>
      <c r="BF1255" t="inlineStr">
        <is>
          <t>893423044</t>
        </is>
      </c>
    </row>
    <row r="1256">
      <c r="A1256" t="inlineStr">
        <is>
          <t>No</t>
        </is>
      </c>
      <c r="B1256" t="inlineStr">
        <is>
          <t>CURAL</t>
        </is>
      </c>
      <c r="C1256" t="inlineStr">
        <is>
          <t>SHELVES</t>
        </is>
      </c>
      <c r="D1256" t="inlineStr">
        <is>
          <t>PQ8549.L55 A6 1993</t>
        </is>
      </c>
      <c r="E1256" t="inlineStr">
        <is>
          <t>0                      PQ 8549000L  55                 A  6           1993</t>
        </is>
      </c>
      <c r="F1256" t="inlineStr">
        <is>
          <t>Antología poética : 1942-1991 / Juan Liscano ; prólogo, Oscar Rodríguez Ortiz.</t>
        </is>
      </c>
      <c r="H1256" t="inlineStr">
        <is>
          <t>No</t>
        </is>
      </c>
      <c r="I1256" t="inlineStr">
        <is>
          <t>1</t>
        </is>
      </c>
      <c r="J1256" t="inlineStr">
        <is>
          <t>No</t>
        </is>
      </c>
      <c r="K1256" t="inlineStr">
        <is>
          <t>No</t>
        </is>
      </c>
      <c r="L1256" t="inlineStr">
        <is>
          <t>0</t>
        </is>
      </c>
      <c r="M1256" t="inlineStr">
        <is>
          <t>Liscano, Juan, 1915-</t>
        </is>
      </c>
      <c r="N1256" t="inlineStr">
        <is>
          <t>Caracas, Venezuela : Monte Avila Editores Latinoamericana, 1993.</t>
        </is>
      </c>
      <c r="O1256" t="inlineStr">
        <is>
          <t>1993</t>
        </is>
      </c>
      <c r="P1256" t="inlineStr">
        <is>
          <t>1a. ed.</t>
        </is>
      </c>
      <c r="Q1256" t="inlineStr">
        <is>
          <t>spa</t>
        </is>
      </c>
      <c r="R1256" t="inlineStr">
        <is>
          <t xml:space="preserve">ve </t>
        </is>
      </c>
      <c r="S1256" t="inlineStr">
        <is>
          <t>Altazor</t>
        </is>
      </c>
      <c r="T1256" t="inlineStr">
        <is>
          <t xml:space="preserve">PQ </t>
        </is>
      </c>
      <c r="U1256" t="n">
        <v>1</v>
      </c>
      <c r="V1256" t="n">
        <v>1</v>
      </c>
      <c r="W1256" t="inlineStr">
        <is>
          <t>2002-01-17</t>
        </is>
      </c>
      <c r="X1256" t="inlineStr">
        <is>
          <t>2002-01-17</t>
        </is>
      </c>
      <c r="Y1256" t="inlineStr">
        <is>
          <t>2002-01-17</t>
        </is>
      </c>
      <c r="Z1256" t="inlineStr">
        <is>
          <t>2002-01-17</t>
        </is>
      </c>
      <c r="AA1256" t="n">
        <v>75</v>
      </c>
      <c r="AB1256" t="n">
        <v>55</v>
      </c>
      <c r="AC1256" t="n">
        <v>57</v>
      </c>
      <c r="AD1256" t="n">
        <v>1</v>
      </c>
      <c r="AE1256" t="n">
        <v>1</v>
      </c>
      <c r="AF1256" t="n">
        <v>3</v>
      </c>
      <c r="AG1256" t="n">
        <v>3</v>
      </c>
      <c r="AH1256" t="n">
        <v>1</v>
      </c>
      <c r="AI1256" t="n">
        <v>1</v>
      </c>
      <c r="AJ1256" t="n">
        <v>2</v>
      </c>
      <c r="AK1256" t="n">
        <v>2</v>
      </c>
      <c r="AL1256" t="n">
        <v>1</v>
      </c>
      <c r="AM1256" t="n">
        <v>1</v>
      </c>
      <c r="AN1256" t="n">
        <v>0</v>
      </c>
      <c r="AO1256" t="n">
        <v>0</v>
      </c>
      <c r="AP1256" t="n">
        <v>0</v>
      </c>
      <c r="AQ1256" t="n">
        <v>0</v>
      </c>
      <c r="AR1256" t="inlineStr">
        <is>
          <t>No</t>
        </is>
      </c>
      <c r="AS1256" t="inlineStr">
        <is>
          <t>Yes</t>
        </is>
      </c>
      <c r="AT1256">
        <f>HYPERLINK("http://catalog.hathitrust.org/Record/101164228","HathiTrust Record")</f>
        <v/>
      </c>
      <c r="AU1256">
        <f>HYPERLINK("https://creighton-primo.hosted.exlibrisgroup.com/primo-explore/search?tab=default_tab&amp;search_scope=EVERYTHING&amp;vid=01CRU&amp;lang=en_US&amp;offset=0&amp;query=any,contains,991003713719702656","Catalog Record")</f>
        <v/>
      </c>
      <c r="AV1256">
        <f>HYPERLINK("http://www.worldcat.org/oclc/32166313","WorldCat Record")</f>
        <v/>
      </c>
      <c r="AW1256" t="inlineStr">
        <is>
          <t>1059163266:spa</t>
        </is>
      </c>
      <c r="AX1256" t="inlineStr">
        <is>
          <t>32166313</t>
        </is>
      </c>
      <c r="AY1256" t="inlineStr">
        <is>
          <t>991003713719702656</t>
        </is>
      </c>
      <c r="AZ1256" t="inlineStr">
        <is>
          <t>991003713719702656</t>
        </is>
      </c>
      <c r="BA1256" t="inlineStr">
        <is>
          <t>2266199990002656</t>
        </is>
      </c>
      <c r="BB1256" t="inlineStr">
        <is>
          <t>BOOK</t>
        </is>
      </c>
      <c r="BD1256" t="inlineStr">
        <is>
          <t>9789800107683</t>
        </is>
      </c>
      <c r="BE1256" t="inlineStr">
        <is>
          <t>32285004449749</t>
        </is>
      </c>
      <c r="BF1256" t="inlineStr">
        <is>
          <t>893894026</t>
        </is>
      </c>
    </row>
    <row r="1257">
      <c r="A1257" t="inlineStr">
        <is>
          <t>No</t>
        </is>
      </c>
      <c r="B1257" t="inlineStr">
        <is>
          <t>CURAL</t>
        </is>
      </c>
      <c r="C1257" t="inlineStr">
        <is>
          <t>SHELVES</t>
        </is>
      </c>
      <c r="D1257" t="inlineStr">
        <is>
          <t>PQ8549.L55 N6 1968</t>
        </is>
      </c>
      <c r="E1257" t="inlineStr">
        <is>
          <t>0                      PQ 8549000L  55                 N  6           1968</t>
        </is>
      </c>
      <c r="F1257" t="inlineStr">
        <is>
          <t>Nombrar contra el tiempo : antología / [por] Juan Liscano.</t>
        </is>
      </c>
      <c r="H1257" t="inlineStr">
        <is>
          <t>No</t>
        </is>
      </c>
      <c r="I1257" t="inlineStr">
        <is>
          <t>1</t>
        </is>
      </c>
      <c r="J1257" t="inlineStr">
        <is>
          <t>No</t>
        </is>
      </c>
      <c r="K1257" t="inlineStr">
        <is>
          <t>No</t>
        </is>
      </c>
      <c r="L1257" t="inlineStr">
        <is>
          <t>0</t>
        </is>
      </c>
      <c r="M1257" t="inlineStr">
        <is>
          <t>Liscano, Juan, 1915-</t>
        </is>
      </c>
      <c r="N1257" t="inlineStr">
        <is>
          <t>[Caracas] : Monte Avila Editores, [1968]</t>
        </is>
      </c>
      <c r="O1257" t="inlineStr">
        <is>
          <t>1968</t>
        </is>
      </c>
      <c r="Q1257" t="inlineStr">
        <is>
          <t>spa</t>
        </is>
      </c>
      <c r="R1257" t="inlineStr">
        <is>
          <t xml:space="preserve">ve </t>
        </is>
      </c>
      <c r="S1257" t="inlineStr">
        <is>
          <t>Colección Altazor</t>
        </is>
      </c>
      <c r="T1257" t="inlineStr">
        <is>
          <t xml:space="preserve">PQ </t>
        </is>
      </c>
      <c r="U1257" t="n">
        <v>2</v>
      </c>
      <c r="V1257" t="n">
        <v>2</v>
      </c>
      <c r="W1257" t="inlineStr">
        <is>
          <t>2004-08-04</t>
        </is>
      </c>
      <c r="X1257" t="inlineStr">
        <is>
          <t>2004-08-04</t>
        </is>
      </c>
      <c r="Y1257" t="inlineStr">
        <is>
          <t>2004-08-04</t>
        </is>
      </c>
      <c r="Z1257" t="inlineStr">
        <is>
          <t>2004-08-04</t>
        </is>
      </c>
      <c r="AA1257" t="n">
        <v>73</v>
      </c>
      <c r="AB1257" t="n">
        <v>55</v>
      </c>
      <c r="AC1257" t="n">
        <v>63</v>
      </c>
      <c r="AD1257" t="n">
        <v>2</v>
      </c>
      <c r="AE1257" t="n">
        <v>2</v>
      </c>
      <c r="AF1257" t="n">
        <v>1</v>
      </c>
      <c r="AG1257" t="n">
        <v>1</v>
      </c>
      <c r="AH1257" t="n">
        <v>0</v>
      </c>
      <c r="AI1257" t="n">
        <v>0</v>
      </c>
      <c r="AJ1257" t="n">
        <v>0</v>
      </c>
      <c r="AK1257" t="n">
        <v>0</v>
      </c>
      <c r="AL1257" t="n">
        <v>0</v>
      </c>
      <c r="AM1257" t="n">
        <v>0</v>
      </c>
      <c r="AN1257" t="n">
        <v>1</v>
      </c>
      <c r="AO1257" t="n">
        <v>1</v>
      </c>
      <c r="AP1257" t="n">
        <v>0</v>
      </c>
      <c r="AQ1257" t="n">
        <v>0</v>
      </c>
      <c r="AR1257" t="inlineStr">
        <is>
          <t>No</t>
        </is>
      </c>
      <c r="AS1257" t="inlineStr">
        <is>
          <t>Yes</t>
        </is>
      </c>
      <c r="AT1257">
        <f>HYPERLINK("http://catalog.hathitrust.org/Record/001052240","HathiTrust Record")</f>
        <v/>
      </c>
      <c r="AU1257">
        <f>HYPERLINK("https://creighton-primo.hosted.exlibrisgroup.com/primo-explore/search?tab=default_tab&amp;search_scope=EVERYTHING&amp;vid=01CRU&amp;lang=en_US&amp;offset=0&amp;query=any,contains,991004336749702656","Catalog Record")</f>
        <v/>
      </c>
      <c r="AV1257">
        <f>HYPERLINK("http://www.worldcat.org/oclc/1440531","WorldCat Record")</f>
        <v/>
      </c>
      <c r="AW1257" t="inlineStr">
        <is>
          <t>2344417:spa</t>
        </is>
      </c>
      <c r="AX1257" t="inlineStr">
        <is>
          <t>1440531</t>
        </is>
      </c>
      <c r="AY1257" t="inlineStr">
        <is>
          <t>991004336749702656</t>
        </is>
      </c>
      <c r="AZ1257" t="inlineStr">
        <is>
          <t>991004336749702656</t>
        </is>
      </c>
      <c r="BA1257" t="inlineStr">
        <is>
          <t>2257737960002656</t>
        </is>
      </c>
      <c r="BB1257" t="inlineStr">
        <is>
          <t>BOOK</t>
        </is>
      </c>
      <c r="BE1257" t="inlineStr">
        <is>
          <t>32285004927942</t>
        </is>
      </c>
      <c r="BF1257" t="inlineStr">
        <is>
          <t>893417504</t>
        </is>
      </c>
    </row>
    <row r="1258">
      <c r="A1258" t="inlineStr">
        <is>
          <t>No</t>
        </is>
      </c>
      <c r="B1258" t="inlineStr">
        <is>
          <t>CURAL</t>
        </is>
      </c>
      <c r="C1258" t="inlineStr">
        <is>
          <t>SHELVES</t>
        </is>
      </c>
      <c r="D1258" t="inlineStr">
        <is>
          <t>PQ8549.M349 D4 1970</t>
        </is>
      </c>
      <c r="E1258" t="inlineStr">
        <is>
          <t>0                      PQ 8549000M  349                D  4           1970</t>
        </is>
      </c>
      <c r="F1258" t="inlineStr">
        <is>
          <t>El día implacable : cuentos escogidas, 1947-69 / Antonio Marquez Salas.</t>
        </is>
      </c>
      <c r="H1258" t="inlineStr">
        <is>
          <t>No</t>
        </is>
      </c>
      <c r="I1258" t="inlineStr">
        <is>
          <t>1</t>
        </is>
      </c>
      <c r="J1258" t="inlineStr">
        <is>
          <t>No</t>
        </is>
      </c>
      <c r="K1258" t="inlineStr">
        <is>
          <t>No</t>
        </is>
      </c>
      <c r="L1258" t="inlineStr">
        <is>
          <t>0</t>
        </is>
      </c>
      <c r="M1258" t="inlineStr">
        <is>
          <t>Márquez Salas, Antonio, 1919-</t>
        </is>
      </c>
      <c r="N1258" t="inlineStr">
        <is>
          <t>[Caracas] : Monte Avila, c1970.</t>
        </is>
      </c>
      <c r="O1258" t="inlineStr">
        <is>
          <t>1970</t>
        </is>
      </c>
      <c r="Q1258" t="inlineStr">
        <is>
          <t>spa</t>
        </is>
      </c>
      <c r="R1258" t="inlineStr">
        <is>
          <t xml:space="preserve">ve </t>
        </is>
      </c>
      <c r="S1258" t="inlineStr">
        <is>
          <t>Colección Continente</t>
        </is>
      </c>
      <c r="T1258" t="inlineStr">
        <is>
          <t xml:space="preserve">PQ </t>
        </is>
      </c>
      <c r="U1258" t="n">
        <v>1</v>
      </c>
      <c r="V1258" t="n">
        <v>1</v>
      </c>
      <c r="W1258" t="inlineStr">
        <is>
          <t>2002-07-29</t>
        </is>
      </c>
      <c r="X1258" t="inlineStr">
        <is>
          <t>2002-07-29</t>
        </is>
      </c>
      <c r="Y1258" t="inlineStr">
        <is>
          <t>2002-07-29</t>
        </is>
      </c>
      <c r="Z1258" t="inlineStr">
        <is>
          <t>2002-07-29</t>
        </is>
      </c>
      <c r="AA1258" t="n">
        <v>52</v>
      </c>
      <c r="AB1258" t="n">
        <v>39</v>
      </c>
      <c r="AC1258" t="n">
        <v>40</v>
      </c>
      <c r="AD1258" t="n">
        <v>2</v>
      </c>
      <c r="AE1258" t="n">
        <v>2</v>
      </c>
      <c r="AF1258" t="n">
        <v>1</v>
      </c>
      <c r="AG1258" t="n">
        <v>1</v>
      </c>
      <c r="AH1258" t="n">
        <v>0</v>
      </c>
      <c r="AI1258" t="n">
        <v>0</v>
      </c>
      <c r="AJ1258" t="n">
        <v>0</v>
      </c>
      <c r="AK1258" t="n">
        <v>0</v>
      </c>
      <c r="AL1258" t="n">
        <v>0</v>
      </c>
      <c r="AM1258" t="n">
        <v>0</v>
      </c>
      <c r="AN1258" t="n">
        <v>1</v>
      </c>
      <c r="AO1258" t="n">
        <v>1</v>
      </c>
      <c r="AP1258" t="n">
        <v>0</v>
      </c>
      <c r="AQ1258" t="n">
        <v>0</v>
      </c>
      <c r="AR1258" t="inlineStr">
        <is>
          <t>No</t>
        </is>
      </c>
      <c r="AS1258" t="inlineStr">
        <is>
          <t>No</t>
        </is>
      </c>
      <c r="AU1258">
        <f>HYPERLINK("https://creighton-primo.hosted.exlibrisgroup.com/primo-explore/search?tab=default_tab&amp;search_scope=EVERYTHING&amp;vid=01CRU&amp;lang=en_US&amp;offset=0&amp;query=any,contains,991003846769702656","Catalog Record")</f>
        <v/>
      </c>
      <c r="AV1258">
        <f>HYPERLINK("http://www.worldcat.org/oclc/604660","WorldCat Record")</f>
        <v/>
      </c>
      <c r="AW1258" t="inlineStr">
        <is>
          <t>433292267:spa</t>
        </is>
      </c>
      <c r="AX1258" t="inlineStr">
        <is>
          <t>604660</t>
        </is>
      </c>
      <c r="AY1258" t="inlineStr">
        <is>
          <t>991003846769702656</t>
        </is>
      </c>
      <c r="AZ1258" t="inlineStr">
        <is>
          <t>991003846769702656</t>
        </is>
      </c>
      <c r="BA1258" t="inlineStr">
        <is>
          <t>2260808110002656</t>
        </is>
      </c>
      <c r="BB1258" t="inlineStr">
        <is>
          <t>BOOK</t>
        </is>
      </c>
      <c r="BE1258" t="inlineStr">
        <is>
          <t>32285004499983</t>
        </is>
      </c>
      <c r="BF1258" t="inlineStr">
        <is>
          <t>893868950</t>
        </is>
      </c>
    </row>
    <row r="1259">
      <c r="A1259" t="inlineStr">
        <is>
          <t>No</t>
        </is>
      </c>
      <c r="B1259" t="inlineStr">
        <is>
          <t>CURAL</t>
        </is>
      </c>
      <c r="C1259" t="inlineStr">
        <is>
          <t>SHELVES</t>
        </is>
      </c>
      <c r="D1259" t="inlineStr">
        <is>
          <t>PQ8549.M426 A6 1981</t>
        </is>
      </c>
      <c r="E1259" t="inlineStr">
        <is>
          <t>0                      PQ 8549000M  426                A  6           1981</t>
        </is>
      </c>
      <c r="F1259" t="inlineStr">
        <is>
          <t>Espejos y disfraces / Guillermo Meneses ; selección y prólogo, José Balza ; cronología, Salvador Tenreiro.</t>
        </is>
      </c>
      <c r="H1259" t="inlineStr">
        <is>
          <t>No</t>
        </is>
      </c>
      <c r="I1259" t="inlineStr">
        <is>
          <t>1</t>
        </is>
      </c>
      <c r="J1259" t="inlineStr">
        <is>
          <t>No</t>
        </is>
      </c>
      <c r="K1259" t="inlineStr">
        <is>
          <t>No</t>
        </is>
      </c>
      <c r="L1259" t="inlineStr">
        <is>
          <t>0</t>
        </is>
      </c>
      <c r="M1259" t="inlineStr">
        <is>
          <t>Meneses, Guillermo, 1911-1978.</t>
        </is>
      </c>
      <c r="N1259" t="inlineStr">
        <is>
          <t>Caracas, Venezuela : Biblioteca Ayacucho, [1981]</t>
        </is>
      </c>
      <c r="O1259" t="inlineStr">
        <is>
          <t>1981</t>
        </is>
      </c>
      <c r="Q1259" t="inlineStr">
        <is>
          <t>spa</t>
        </is>
      </c>
      <c r="R1259" t="inlineStr">
        <is>
          <t xml:space="preserve">ve </t>
        </is>
      </c>
      <c r="S1259" t="inlineStr">
        <is>
          <t>Biblioteca Ayacucho ; 81</t>
        </is>
      </c>
      <c r="T1259" t="inlineStr">
        <is>
          <t xml:space="preserve">PQ </t>
        </is>
      </c>
      <c r="U1259" t="n">
        <v>1</v>
      </c>
      <c r="V1259" t="n">
        <v>1</v>
      </c>
      <c r="W1259" t="inlineStr">
        <is>
          <t>2001-11-19</t>
        </is>
      </c>
      <c r="X1259" t="inlineStr">
        <is>
          <t>2001-11-19</t>
        </is>
      </c>
      <c r="Y1259" t="inlineStr">
        <is>
          <t>2001-11-19</t>
        </is>
      </c>
      <c r="Z1259" t="inlineStr">
        <is>
          <t>2001-11-19</t>
        </is>
      </c>
      <c r="AA1259" t="n">
        <v>153</v>
      </c>
      <c r="AB1259" t="n">
        <v>108</v>
      </c>
      <c r="AC1259" t="n">
        <v>111</v>
      </c>
      <c r="AD1259" t="n">
        <v>2</v>
      </c>
      <c r="AE1259" t="n">
        <v>2</v>
      </c>
      <c r="AF1259" t="n">
        <v>6</v>
      </c>
      <c r="AG1259" t="n">
        <v>6</v>
      </c>
      <c r="AH1259" t="n">
        <v>0</v>
      </c>
      <c r="AI1259" t="n">
        <v>0</v>
      </c>
      <c r="AJ1259" t="n">
        <v>4</v>
      </c>
      <c r="AK1259" t="n">
        <v>4</v>
      </c>
      <c r="AL1259" t="n">
        <v>3</v>
      </c>
      <c r="AM1259" t="n">
        <v>3</v>
      </c>
      <c r="AN1259" t="n">
        <v>1</v>
      </c>
      <c r="AO1259" t="n">
        <v>1</v>
      </c>
      <c r="AP1259" t="n">
        <v>0</v>
      </c>
      <c r="AQ1259" t="n">
        <v>0</v>
      </c>
      <c r="AR1259" t="inlineStr">
        <is>
          <t>No</t>
        </is>
      </c>
      <c r="AS1259" t="inlineStr">
        <is>
          <t>Yes</t>
        </is>
      </c>
      <c r="AT1259">
        <f>HYPERLINK("http://catalog.hathitrust.org/Record/006717100","HathiTrust Record")</f>
        <v/>
      </c>
      <c r="AU1259">
        <f>HYPERLINK("https://creighton-primo.hosted.exlibrisgroup.com/primo-explore/search?tab=default_tab&amp;search_scope=EVERYTHING&amp;vid=01CRU&amp;lang=en_US&amp;offset=0&amp;query=any,contains,991003681799702656","Catalog Record")</f>
        <v/>
      </c>
      <c r="AV1259">
        <f>HYPERLINK("http://www.worldcat.org/oclc/9149637","WorldCat Record")</f>
        <v/>
      </c>
      <c r="AW1259" t="inlineStr">
        <is>
          <t>210045124:spa</t>
        </is>
      </c>
      <c r="AX1259" t="inlineStr">
        <is>
          <t>9149637</t>
        </is>
      </c>
      <c r="AY1259" t="inlineStr">
        <is>
          <t>991003681799702656</t>
        </is>
      </c>
      <c r="AZ1259" t="inlineStr">
        <is>
          <t>991003681799702656</t>
        </is>
      </c>
      <c r="BA1259" t="inlineStr">
        <is>
          <t>2268193660002656</t>
        </is>
      </c>
      <c r="BB1259" t="inlineStr">
        <is>
          <t>BOOK</t>
        </is>
      </c>
      <c r="BD1259" t="inlineStr">
        <is>
          <t>9788466000666</t>
        </is>
      </c>
      <c r="BE1259" t="inlineStr">
        <is>
          <t>32285004412408</t>
        </is>
      </c>
      <c r="BF1259" t="inlineStr">
        <is>
          <t>893349002</t>
        </is>
      </c>
    </row>
    <row r="1260">
      <c r="A1260" t="inlineStr">
        <is>
          <t>No</t>
        </is>
      </c>
      <c r="B1260" t="inlineStr">
        <is>
          <t>CURAL</t>
        </is>
      </c>
      <c r="C1260" t="inlineStr">
        <is>
          <t>SHELVES</t>
        </is>
      </c>
      <c r="D1260" t="inlineStr">
        <is>
          <t>PQ8549.N8 A6 1987</t>
        </is>
      </c>
      <c r="E1260" t="inlineStr">
        <is>
          <t>0                      PQ 8549000N  8                  A  6           1987</t>
        </is>
      </c>
      <c r="F1260" t="inlineStr">
        <is>
          <t>Novelas y ensayos / Enrique Bernardo Núñez ; compilación, prólogo y notas, Osvaldo Larrazábal Henríquez ; cronología y bibliografía, R.J. Lovera De-Sola.</t>
        </is>
      </c>
      <c r="H1260" t="inlineStr">
        <is>
          <t>No</t>
        </is>
      </c>
      <c r="I1260" t="inlineStr">
        <is>
          <t>1</t>
        </is>
      </c>
      <c r="J1260" t="inlineStr">
        <is>
          <t>No</t>
        </is>
      </c>
      <c r="K1260" t="inlineStr">
        <is>
          <t>No</t>
        </is>
      </c>
      <c r="L1260" t="inlineStr">
        <is>
          <t>0</t>
        </is>
      </c>
      <c r="M1260" t="inlineStr">
        <is>
          <t>Núñez, Enrique Bernardo, 1895-1964.</t>
        </is>
      </c>
      <c r="N1260" t="inlineStr">
        <is>
          <t>Caracas, Venezuela : Biblioteca Ayachucho, [1987]</t>
        </is>
      </c>
      <c r="O1260" t="inlineStr">
        <is>
          <t>1987</t>
        </is>
      </c>
      <c r="Q1260" t="inlineStr">
        <is>
          <t>spa</t>
        </is>
      </c>
      <c r="R1260" t="inlineStr">
        <is>
          <t xml:space="preserve">ve </t>
        </is>
      </c>
      <c r="S1260" t="inlineStr">
        <is>
          <t>Biblioteca Ayacucho ; 124</t>
        </is>
      </c>
      <c r="T1260" t="inlineStr">
        <is>
          <t xml:space="preserve">PQ </t>
        </is>
      </c>
      <c r="U1260" t="n">
        <v>1</v>
      </c>
      <c r="V1260" t="n">
        <v>1</v>
      </c>
      <c r="W1260" t="inlineStr">
        <is>
          <t>2001-11-19</t>
        </is>
      </c>
      <c r="X1260" t="inlineStr">
        <is>
          <t>2001-11-19</t>
        </is>
      </c>
      <c r="Y1260" t="inlineStr">
        <is>
          <t>2001-11-19</t>
        </is>
      </c>
      <c r="Z1260" t="inlineStr">
        <is>
          <t>2001-11-19</t>
        </is>
      </c>
      <c r="AA1260" t="n">
        <v>119</v>
      </c>
      <c r="AB1260" t="n">
        <v>86</v>
      </c>
      <c r="AC1260" t="n">
        <v>88</v>
      </c>
      <c r="AD1260" t="n">
        <v>2</v>
      </c>
      <c r="AE1260" t="n">
        <v>2</v>
      </c>
      <c r="AF1260" t="n">
        <v>5</v>
      </c>
      <c r="AG1260" t="n">
        <v>5</v>
      </c>
      <c r="AH1260" t="n">
        <v>0</v>
      </c>
      <c r="AI1260" t="n">
        <v>0</v>
      </c>
      <c r="AJ1260" t="n">
        <v>3</v>
      </c>
      <c r="AK1260" t="n">
        <v>3</v>
      </c>
      <c r="AL1260" t="n">
        <v>3</v>
      </c>
      <c r="AM1260" t="n">
        <v>3</v>
      </c>
      <c r="AN1260" t="n">
        <v>1</v>
      </c>
      <c r="AO1260" t="n">
        <v>1</v>
      </c>
      <c r="AP1260" t="n">
        <v>0</v>
      </c>
      <c r="AQ1260" t="n">
        <v>0</v>
      </c>
      <c r="AR1260" t="inlineStr">
        <is>
          <t>No</t>
        </is>
      </c>
      <c r="AS1260" t="inlineStr">
        <is>
          <t>Yes</t>
        </is>
      </c>
      <c r="AT1260">
        <f>HYPERLINK("http://catalog.hathitrust.org/Record/002879858","HathiTrust Record")</f>
        <v/>
      </c>
      <c r="AU1260">
        <f>HYPERLINK("https://creighton-primo.hosted.exlibrisgroup.com/primo-explore/search?tab=default_tab&amp;search_scope=EVERYTHING&amp;vid=01CRU&amp;lang=en_US&amp;offset=0&amp;query=any,contains,991003681589702656","Catalog Record")</f>
        <v/>
      </c>
      <c r="AV1260">
        <f>HYPERLINK("http://www.worldcat.org/oclc/17297284","WorldCat Record")</f>
        <v/>
      </c>
      <c r="AW1260" t="inlineStr">
        <is>
          <t>16172422:spa</t>
        </is>
      </c>
      <c r="AX1260" t="inlineStr">
        <is>
          <t>17297284</t>
        </is>
      </c>
      <c r="AY1260" t="inlineStr">
        <is>
          <t>991003681589702656</t>
        </is>
      </c>
      <c r="AZ1260" t="inlineStr">
        <is>
          <t>991003681589702656</t>
        </is>
      </c>
      <c r="BA1260" t="inlineStr">
        <is>
          <t>2265197160002656</t>
        </is>
      </c>
      <c r="BB1260" t="inlineStr">
        <is>
          <t>BOOK</t>
        </is>
      </c>
      <c r="BD1260" t="inlineStr">
        <is>
          <t>9789802760381</t>
        </is>
      </c>
      <c r="BE1260" t="inlineStr">
        <is>
          <t>32285004412341</t>
        </is>
      </c>
      <c r="BF1260" t="inlineStr">
        <is>
          <t>893793906</t>
        </is>
      </c>
    </row>
    <row r="1261">
      <c r="A1261" t="inlineStr">
        <is>
          <t>No</t>
        </is>
      </c>
      <c r="B1261" t="inlineStr">
        <is>
          <t>CURAL</t>
        </is>
      </c>
      <c r="C1261" t="inlineStr">
        <is>
          <t>SHELVES</t>
        </is>
      </c>
      <c r="D1261" t="inlineStr">
        <is>
          <t>PQ8549.O8 A6 1998</t>
        </is>
      </c>
      <c r="E1261" t="inlineStr">
        <is>
          <t>0                      PQ 8549000O  8                  A  6           1998</t>
        </is>
      </c>
      <c r="F1261" t="inlineStr">
        <is>
          <t>Miguel Otero Silva : escritos periodísticos / selección, Jesús Sanoja Hernández.</t>
        </is>
      </c>
      <c r="H1261" t="inlineStr">
        <is>
          <t>No</t>
        </is>
      </c>
      <c r="I1261" t="inlineStr">
        <is>
          <t>1</t>
        </is>
      </c>
      <c r="J1261" t="inlineStr">
        <is>
          <t>No</t>
        </is>
      </c>
      <c r="K1261" t="inlineStr">
        <is>
          <t>No</t>
        </is>
      </c>
      <c r="L1261" t="inlineStr">
        <is>
          <t>0</t>
        </is>
      </c>
      <c r="M1261" t="inlineStr">
        <is>
          <t>Otero Silva, Miguel.</t>
        </is>
      </c>
      <c r="N1261" t="inlineStr">
        <is>
          <t>Caracas, Venezuela : Los Libros de El Nacional, 1998.</t>
        </is>
      </c>
      <c r="O1261" t="inlineStr">
        <is>
          <t>1998</t>
        </is>
      </c>
      <c r="Q1261" t="inlineStr">
        <is>
          <t>spa</t>
        </is>
      </c>
      <c r="R1261" t="inlineStr">
        <is>
          <t xml:space="preserve">ve </t>
        </is>
      </c>
      <c r="S1261" t="inlineStr">
        <is>
          <t>Colección Ares</t>
        </is>
      </c>
      <c r="T1261" t="inlineStr">
        <is>
          <t xml:space="preserve">PQ </t>
        </is>
      </c>
      <c r="U1261" t="n">
        <v>1</v>
      </c>
      <c r="V1261" t="n">
        <v>1</v>
      </c>
      <c r="W1261" t="inlineStr">
        <is>
          <t>2000-09-05</t>
        </is>
      </c>
      <c r="X1261" t="inlineStr">
        <is>
          <t>2000-09-05</t>
        </is>
      </c>
      <c r="Y1261" t="inlineStr">
        <is>
          <t>2000-09-05</t>
        </is>
      </c>
      <c r="Z1261" t="inlineStr">
        <is>
          <t>2000-09-05</t>
        </is>
      </c>
      <c r="AA1261" t="n">
        <v>31</v>
      </c>
      <c r="AB1261" t="n">
        <v>28</v>
      </c>
      <c r="AC1261" t="n">
        <v>30</v>
      </c>
      <c r="AD1261" t="n">
        <v>1</v>
      </c>
      <c r="AE1261" t="n">
        <v>1</v>
      </c>
      <c r="AF1261" t="n">
        <v>1</v>
      </c>
      <c r="AG1261" t="n">
        <v>1</v>
      </c>
      <c r="AH1261" t="n">
        <v>0</v>
      </c>
      <c r="AI1261" t="n">
        <v>0</v>
      </c>
      <c r="AJ1261" t="n">
        <v>1</v>
      </c>
      <c r="AK1261" t="n">
        <v>1</v>
      </c>
      <c r="AL1261" t="n">
        <v>1</v>
      </c>
      <c r="AM1261" t="n">
        <v>1</v>
      </c>
      <c r="AN1261" t="n">
        <v>0</v>
      </c>
      <c r="AO1261" t="n">
        <v>0</v>
      </c>
      <c r="AP1261" t="n">
        <v>0</v>
      </c>
      <c r="AQ1261" t="n">
        <v>0</v>
      </c>
      <c r="AR1261" t="inlineStr">
        <is>
          <t>No</t>
        </is>
      </c>
      <c r="AS1261" t="inlineStr">
        <is>
          <t>Yes</t>
        </is>
      </c>
      <c r="AT1261">
        <f>HYPERLINK("http://catalog.hathitrust.org/Record/003998853","HathiTrust Record")</f>
        <v/>
      </c>
      <c r="AU1261">
        <f>HYPERLINK("https://creighton-primo.hosted.exlibrisgroup.com/primo-explore/search?tab=default_tab&amp;search_scope=EVERYTHING&amp;vid=01CRU&amp;lang=en_US&amp;offset=0&amp;query=any,contains,991003252219702656","Catalog Record")</f>
        <v/>
      </c>
      <c r="AV1261">
        <f>HYPERLINK("http://www.worldcat.org/oclc/40414506","WorldCat Record")</f>
        <v/>
      </c>
      <c r="AW1261" t="inlineStr">
        <is>
          <t>28124769:spa</t>
        </is>
      </c>
      <c r="AX1261" t="inlineStr">
        <is>
          <t>40414506</t>
        </is>
      </c>
      <c r="AY1261" t="inlineStr">
        <is>
          <t>991003252219702656</t>
        </is>
      </c>
      <c r="AZ1261" t="inlineStr">
        <is>
          <t>991003252219702656</t>
        </is>
      </c>
      <c r="BA1261" t="inlineStr">
        <is>
          <t>2261670090002656</t>
        </is>
      </c>
      <c r="BB1261" t="inlineStr">
        <is>
          <t>BOOK</t>
        </is>
      </c>
      <c r="BE1261" t="inlineStr">
        <is>
          <t>32285003760013</t>
        </is>
      </c>
      <c r="BF1261" t="inlineStr">
        <is>
          <t>893692530</t>
        </is>
      </c>
    </row>
    <row r="1262">
      <c r="A1262" t="inlineStr">
        <is>
          <t>No</t>
        </is>
      </c>
      <c r="B1262" t="inlineStr">
        <is>
          <t>CURAL</t>
        </is>
      </c>
      <c r="C1262" t="inlineStr">
        <is>
          <t>SHELVES</t>
        </is>
      </c>
      <c r="D1262" t="inlineStr">
        <is>
          <t>PQ8549.O8 C8 1973</t>
        </is>
      </c>
      <c r="E1262" t="inlineStr">
        <is>
          <t>0                      PQ 8549000O  8                  C  8           1973</t>
        </is>
      </c>
      <c r="F1262" t="inlineStr">
        <is>
          <t>Cuando quiero llorar no lloro / Miguel Otero Silva.</t>
        </is>
      </c>
      <c r="H1262" t="inlineStr">
        <is>
          <t>No</t>
        </is>
      </c>
      <c r="I1262" t="inlineStr">
        <is>
          <t>1</t>
        </is>
      </c>
      <c r="J1262" t="inlineStr">
        <is>
          <t>No</t>
        </is>
      </c>
      <c r="K1262" t="inlineStr">
        <is>
          <t>No</t>
        </is>
      </c>
      <c r="L1262" t="inlineStr">
        <is>
          <t>0</t>
        </is>
      </c>
      <c r="M1262" t="inlineStr">
        <is>
          <t>Otero Silva, Miguel.</t>
        </is>
      </c>
      <c r="N1262" t="inlineStr">
        <is>
          <t>Barcelona : Cairculo de lectores, 1973.</t>
        </is>
      </c>
      <c r="O1262" t="inlineStr">
        <is>
          <t>1973</t>
        </is>
      </c>
      <c r="Q1262" t="inlineStr">
        <is>
          <t>spa</t>
        </is>
      </c>
      <c r="R1262" t="inlineStr">
        <is>
          <t xml:space="preserve">sp </t>
        </is>
      </c>
      <c r="T1262" t="inlineStr">
        <is>
          <t xml:space="preserve">PQ </t>
        </is>
      </c>
      <c r="U1262" t="n">
        <v>1</v>
      </c>
      <c r="V1262" t="n">
        <v>1</v>
      </c>
      <c r="W1262" t="inlineStr">
        <is>
          <t>2004-08-02</t>
        </is>
      </c>
      <c r="X1262" t="inlineStr">
        <is>
          <t>2004-08-02</t>
        </is>
      </c>
      <c r="Y1262" t="inlineStr">
        <is>
          <t>2004-08-02</t>
        </is>
      </c>
      <c r="Z1262" t="inlineStr">
        <is>
          <t>2004-08-02</t>
        </is>
      </c>
      <c r="AA1262" t="n">
        <v>6</v>
      </c>
      <c r="AB1262" t="n">
        <v>6</v>
      </c>
      <c r="AC1262" t="n">
        <v>248</v>
      </c>
      <c r="AD1262" t="n">
        <v>1</v>
      </c>
      <c r="AE1262" t="n">
        <v>3</v>
      </c>
      <c r="AF1262" t="n">
        <v>0</v>
      </c>
      <c r="AG1262" t="n">
        <v>7</v>
      </c>
      <c r="AH1262" t="n">
        <v>0</v>
      </c>
      <c r="AI1262" t="n">
        <v>0</v>
      </c>
      <c r="AJ1262" t="n">
        <v>0</v>
      </c>
      <c r="AK1262" t="n">
        <v>3</v>
      </c>
      <c r="AL1262" t="n">
        <v>0</v>
      </c>
      <c r="AM1262" t="n">
        <v>4</v>
      </c>
      <c r="AN1262" t="n">
        <v>0</v>
      </c>
      <c r="AO1262" t="n">
        <v>2</v>
      </c>
      <c r="AP1262" t="n">
        <v>0</v>
      </c>
      <c r="AQ1262" t="n">
        <v>0</v>
      </c>
      <c r="AR1262" t="inlineStr">
        <is>
          <t>No</t>
        </is>
      </c>
      <c r="AS1262" t="inlineStr">
        <is>
          <t>No</t>
        </is>
      </c>
      <c r="AU1262">
        <f>HYPERLINK("https://creighton-primo.hosted.exlibrisgroup.com/primo-explore/search?tab=default_tab&amp;search_scope=EVERYTHING&amp;vid=01CRU&amp;lang=en_US&amp;offset=0&amp;query=any,contains,991004333629702656","Catalog Record")</f>
        <v/>
      </c>
      <c r="AV1262">
        <f>HYPERLINK("http://www.worldcat.org/oclc/10630805","WorldCat Record")</f>
        <v/>
      </c>
      <c r="AW1262" t="inlineStr">
        <is>
          <t>199511786:spa</t>
        </is>
      </c>
      <c r="AX1262" t="inlineStr">
        <is>
          <t>10630805</t>
        </is>
      </c>
      <c r="AY1262" t="inlineStr">
        <is>
          <t>991004333629702656</t>
        </is>
      </c>
      <c r="AZ1262" t="inlineStr">
        <is>
          <t>991004333629702656</t>
        </is>
      </c>
      <c r="BA1262" t="inlineStr">
        <is>
          <t>2265826980002656</t>
        </is>
      </c>
      <c r="BB1262" t="inlineStr">
        <is>
          <t>BOOK</t>
        </is>
      </c>
      <c r="BD1262" t="inlineStr">
        <is>
          <t>9788422604853</t>
        </is>
      </c>
      <c r="BE1262" t="inlineStr">
        <is>
          <t>32285004925631</t>
        </is>
      </c>
      <c r="BF1262" t="inlineStr">
        <is>
          <t>893712464</t>
        </is>
      </c>
    </row>
    <row r="1263">
      <c r="A1263" t="inlineStr">
        <is>
          <t>No</t>
        </is>
      </c>
      <c r="B1263" t="inlineStr">
        <is>
          <t>CURAL</t>
        </is>
      </c>
      <c r="C1263" t="inlineStr">
        <is>
          <t>SHELVES</t>
        </is>
      </c>
      <c r="D1263" t="inlineStr">
        <is>
          <t>PQ8549.O8 L6 1979</t>
        </is>
      </c>
      <c r="E1263" t="inlineStr">
        <is>
          <t>0                      PQ 8549000O  8                  L  6           1979</t>
        </is>
      </c>
      <c r="F1263" t="inlineStr">
        <is>
          <t>Lope de Aguirre, praincipe de la libertad / Miguel Otero Silva.</t>
        </is>
      </c>
      <c r="H1263" t="inlineStr">
        <is>
          <t>No</t>
        </is>
      </c>
      <c r="I1263" t="inlineStr">
        <is>
          <t>1</t>
        </is>
      </c>
      <c r="J1263" t="inlineStr">
        <is>
          <t>No</t>
        </is>
      </c>
      <c r="K1263" t="inlineStr">
        <is>
          <t>No</t>
        </is>
      </c>
      <c r="L1263" t="inlineStr">
        <is>
          <t>0</t>
        </is>
      </c>
      <c r="M1263" t="inlineStr">
        <is>
          <t>Otero Silva, Miguel.</t>
        </is>
      </c>
      <c r="N1263" t="inlineStr">
        <is>
          <t>Barcelona : Seix Barral, 1979.</t>
        </is>
      </c>
      <c r="O1263" t="inlineStr">
        <is>
          <t>1979</t>
        </is>
      </c>
      <c r="P1263" t="inlineStr">
        <is>
          <t>1. ed.</t>
        </is>
      </c>
      <c r="Q1263" t="inlineStr">
        <is>
          <t>spa</t>
        </is>
      </c>
      <c r="R1263" t="inlineStr">
        <is>
          <t xml:space="preserve">sp </t>
        </is>
      </c>
      <c r="S1263" t="inlineStr">
        <is>
          <t>Biblioteca breve</t>
        </is>
      </c>
      <c r="T1263" t="inlineStr">
        <is>
          <t xml:space="preserve">PQ </t>
        </is>
      </c>
      <c r="U1263" t="n">
        <v>1</v>
      </c>
      <c r="V1263" t="n">
        <v>1</v>
      </c>
      <c r="W1263" t="inlineStr">
        <is>
          <t>2004-08-02</t>
        </is>
      </c>
      <c r="X1263" t="inlineStr">
        <is>
          <t>2004-08-02</t>
        </is>
      </c>
      <c r="Y1263" t="inlineStr">
        <is>
          <t>2004-08-02</t>
        </is>
      </c>
      <c r="Z1263" t="inlineStr">
        <is>
          <t>2004-08-02</t>
        </is>
      </c>
      <c r="AA1263" t="n">
        <v>147</v>
      </c>
      <c r="AB1263" t="n">
        <v>113</v>
      </c>
      <c r="AC1263" t="n">
        <v>164</v>
      </c>
      <c r="AD1263" t="n">
        <v>1</v>
      </c>
      <c r="AE1263" t="n">
        <v>1</v>
      </c>
      <c r="AF1263" t="n">
        <v>4</v>
      </c>
      <c r="AG1263" t="n">
        <v>5</v>
      </c>
      <c r="AH1263" t="n">
        <v>0</v>
      </c>
      <c r="AI1263" t="n">
        <v>0</v>
      </c>
      <c r="AJ1263" t="n">
        <v>3</v>
      </c>
      <c r="AK1263" t="n">
        <v>3</v>
      </c>
      <c r="AL1263" t="n">
        <v>2</v>
      </c>
      <c r="AM1263" t="n">
        <v>3</v>
      </c>
      <c r="AN1263" t="n">
        <v>0</v>
      </c>
      <c r="AO1263" t="n">
        <v>0</v>
      </c>
      <c r="AP1263" t="n">
        <v>0</v>
      </c>
      <c r="AQ1263" t="n">
        <v>0</v>
      </c>
      <c r="AR1263" t="inlineStr">
        <is>
          <t>No</t>
        </is>
      </c>
      <c r="AS1263" t="inlineStr">
        <is>
          <t>Yes</t>
        </is>
      </c>
      <c r="AT1263">
        <f>HYPERLINK("http://catalog.hathitrust.org/Record/000697553","HathiTrust Record")</f>
        <v/>
      </c>
      <c r="AU1263">
        <f>HYPERLINK("https://creighton-primo.hosted.exlibrisgroup.com/primo-explore/search?tab=default_tab&amp;search_scope=EVERYTHING&amp;vid=01CRU&amp;lang=en_US&amp;offset=0&amp;query=any,contains,991004333339702656","Catalog Record")</f>
        <v/>
      </c>
      <c r="AV1263">
        <f>HYPERLINK("http://www.worldcat.org/oclc/5708300","WorldCat Record")</f>
        <v/>
      </c>
      <c r="AW1263" t="inlineStr">
        <is>
          <t>4560052:spa</t>
        </is>
      </c>
      <c r="AX1263" t="inlineStr">
        <is>
          <t>5708300</t>
        </is>
      </c>
      <c r="AY1263" t="inlineStr">
        <is>
          <t>991004333339702656</t>
        </is>
      </c>
      <c r="AZ1263" t="inlineStr">
        <is>
          <t>991004333339702656</t>
        </is>
      </c>
      <c r="BA1263" t="inlineStr">
        <is>
          <t>2261021840002656</t>
        </is>
      </c>
      <c r="BB1263" t="inlineStr">
        <is>
          <t>BOOK</t>
        </is>
      </c>
      <c r="BD1263" t="inlineStr">
        <is>
          <t>9788432203503</t>
        </is>
      </c>
      <c r="BE1263" t="inlineStr">
        <is>
          <t>32285004925649</t>
        </is>
      </c>
      <c r="BF1263" t="inlineStr">
        <is>
          <t>893436163</t>
        </is>
      </c>
    </row>
    <row r="1264">
      <c r="A1264" t="inlineStr">
        <is>
          <t>No</t>
        </is>
      </c>
      <c r="B1264" t="inlineStr">
        <is>
          <t>CURAL</t>
        </is>
      </c>
      <c r="C1264" t="inlineStr">
        <is>
          <t>SHELVES</t>
        </is>
      </c>
      <c r="D1264" t="inlineStr">
        <is>
          <t>PQ8549.O8 O27 1976</t>
        </is>
      </c>
      <c r="E1264" t="inlineStr">
        <is>
          <t>0                      PQ 8549000O  8                  O  27          1976</t>
        </is>
      </c>
      <c r="F1264" t="inlineStr">
        <is>
          <t>Obra poética / Miguel Otero Silva.</t>
        </is>
      </c>
      <c r="H1264" t="inlineStr">
        <is>
          <t>No</t>
        </is>
      </c>
      <c r="I1264" t="inlineStr">
        <is>
          <t>1</t>
        </is>
      </c>
      <c r="J1264" t="inlineStr">
        <is>
          <t>No</t>
        </is>
      </c>
      <c r="K1264" t="inlineStr">
        <is>
          <t>No</t>
        </is>
      </c>
      <c r="L1264" t="inlineStr">
        <is>
          <t>0</t>
        </is>
      </c>
      <c r="M1264" t="inlineStr">
        <is>
          <t>Otero Silva, Miguel.</t>
        </is>
      </c>
      <c r="N1264" t="inlineStr">
        <is>
          <t>Barcelona : Seix Barral, 1976.</t>
        </is>
      </c>
      <c r="O1264" t="inlineStr">
        <is>
          <t>1976</t>
        </is>
      </c>
      <c r="P1264" t="inlineStr">
        <is>
          <t>1 ed.</t>
        </is>
      </c>
      <c r="Q1264" t="inlineStr">
        <is>
          <t>spa</t>
        </is>
      </c>
      <c r="R1264" t="inlineStr">
        <is>
          <t xml:space="preserve">sp </t>
        </is>
      </c>
      <c r="S1264" t="inlineStr">
        <is>
          <t>Nueva narrativa hispánica</t>
        </is>
      </c>
      <c r="T1264" t="inlineStr">
        <is>
          <t xml:space="preserve">PQ </t>
        </is>
      </c>
      <c r="U1264" t="n">
        <v>1</v>
      </c>
      <c r="V1264" t="n">
        <v>1</v>
      </c>
      <c r="W1264" t="inlineStr">
        <is>
          <t>2002-02-25</t>
        </is>
      </c>
      <c r="X1264" t="inlineStr">
        <is>
          <t>2002-02-25</t>
        </is>
      </c>
      <c r="Y1264" t="inlineStr">
        <is>
          <t>2002-02-25</t>
        </is>
      </c>
      <c r="Z1264" t="inlineStr">
        <is>
          <t>2002-02-25</t>
        </is>
      </c>
      <c r="AA1264" t="n">
        <v>10</v>
      </c>
      <c r="AB1264" t="n">
        <v>5</v>
      </c>
      <c r="AC1264" t="n">
        <v>98</v>
      </c>
      <c r="AD1264" t="n">
        <v>1</v>
      </c>
      <c r="AE1264" t="n">
        <v>1</v>
      </c>
      <c r="AF1264" t="n">
        <v>0</v>
      </c>
      <c r="AG1264" t="n">
        <v>3</v>
      </c>
      <c r="AH1264" t="n">
        <v>0</v>
      </c>
      <c r="AI1264" t="n">
        <v>1</v>
      </c>
      <c r="AJ1264" t="n">
        <v>0</v>
      </c>
      <c r="AK1264" t="n">
        <v>1</v>
      </c>
      <c r="AL1264" t="n">
        <v>0</v>
      </c>
      <c r="AM1264" t="n">
        <v>1</v>
      </c>
      <c r="AN1264" t="n">
        <v>0</v>
      </c>
      <c r="AO1264" t="n">
        <v>0</v>
      </c>
      <c r="AP1264" t="n">
        <v>0</v>
      </c>
      <c r="AQ1264" t="n">
        <v>0</v>
      </c>
      <c r="AR1264" t="inlineStr">
        <is>
          <t>No</t>
        </is>
      </c>
      <c r="AS1264" t="inlineStr">
        <is>
          <t>Yes</t>
        </is>
      </c>
      <c r="AT1264">
        <f>HYPERLINK("http://catalog.hathitrust.org/Record/000252633","HathiTrust Record")</f>
        <v/>
      </c>
      <c r="AU1264">
        <f>HYPERLINK("https://creighton-primo.hosted.exlibrisgroup.com/primo-explore/search?tab=default_tab&amp;search_scope=EVERYTHING&amp;vid=01CRU&amp;lang=en_US&amp;offset=0&amp;query=any,contains,991003750269702656","Catalog Record")</f>
        <v/>
      </c>
      <c r="AV1264">
        <f>HYPERLINK("http://www.worldcat.org/oclc/3038953","WorldCat Record")</f>
        <v/>
      </c>
      <c r="AW1264" t="inlineStr">
        <is>
          <t>7853160:spa</t>
        </is>
      </c>
      <c r="AX1264" t="inlineStr">
        <is>
          <t>3038953</t>
        </is>
      </c>
      <c r="AY1264" t="inlineStr">
        <is>
          <t>991003750269702656</t>
        </is>
      </c>
      <c r="AZ1264" t="inlineStr">
        <is>
          <t>991003750269702656</t>
        </is>
      </c>
      <c r="BA1264" t="inlineStr">
        <is>
          <t>2260157370002656</t>
        </is>
      </c>
      <c r="BB1264" t="inlineStr">
        <is>
          <t>BOOK</t>
        </is>
      </c>
      <c r="BD1264" t="inlineStr">
        <is>
          <t>9788432213625</t>
        </is>
      </c>
      <c r="BE1264" t="inlineStr">
        <is>
          <t>32285004457437</t>
        </is>
      </c>
      <c r="BF1264" t="inlineStr">
        <is>
          <t>893234527</t>
        </is>
      </c>
    </row>
    <row r="1265">
      <c r="A1265" t="inlineStr">
        <is>
          <t>No</t>
        </is>
      </c>
      <c r="B1265" t="inlineStr">
        <is>
          <t>CURAL</t>
        </is>
      </c>
      <c r="C1265" t="inlineStr">
        <is>
          <t>SHELVES</t>
        </is>
      </c>
      <c r="D1265" t="inlineStr">
        <is>
          <t>PQ8549.O8 T54 1983</t>
        </is>
      </c>
      <c r="E1265" t="inlineStr">
        <is>
          <t>0                      PQ 8549000O  8                  T  54          1983</t>
        </is>
      </c>
      <c r="F1265" t="inlineStr">
        <is>
          <t>Tiempo de hablar / Miguel Otero Silva.</t>
        </is>
      </c>
      <c r="H1265" t="inlineStr">
        <is>
          <t>No</t>
        </is>
      </c>
      <c r="I1265" t="inlineStr">
        <is>
          <t>1</t>
        </is>
      </c>
      <c r="J1265" t="inlineStr">
        <is>
          <t>No</t>
        </is>
      </c>
      <c r="K1265" t="inlineStr">
        <is>
          <t>No</t>
        </is>
      </c>
      <c r="L1265" t="inlineStr">
        <is>
          <t>0</t>
        </is>
      </c>
      <c r="M1265" t="inlineStr">
        <is>
          <t>Otero Silva, Miguel.</t>
        </is>
      </c>
      <c r="N1265" t="inlineStr">
        <is>
          <t>Caracas : Academia Nacional de la Historia, 1983.</t>
        </is>
      </c>
      <c r="O1265" t="inlineStr">
        <is>
          <t>1983</t>
        </is>
      </c>
      <c r="Q1265" t="inlineStr">
        <is>
          <t>spa</t>
        </is>
      </c>
      <c r="R1265" t="inlineStr">
        <is>
          <t xml:space="preserve">ve </t>
        </is>
      </c>
      <c r="S1265" t="inlineStr">
        <is>
          <t>El Libro menor ; 36</t>
        </is>
      </c>
      <c r="T1265" t="inlineStr">
        <is>
          <t xml:space="preserve">PQ </t>
        </is>
      </c>
      <c r="U1265" t="n">
        <v>1</v>
      </c>
      <c r="V1265" t="n">
        <v>1</v>
      </c>
      <c r="W1265" t="inlineStr">
        <is>
          <t>2002-01-17</t>
        </is>
      </c>
      <c r="X1265" t="inlineStr">
        <is>
          <t>2002-01-17</t>
        </is>
      </c>
      <c r="Y1265" t="inlineStr">
        <is>
          <t>2002-01-17</t>
        </is>
      </c>
      <c r="Z1265" t="inlineStr">
        <is>
          <t>2002-01-17</t>
        </is>
      </c>
      <c r="AA1265" t="n">
        <v>33</v>
      </c>
      <c r="AB1265" t="n">
        <v>28</v>
      </c>
      <c r="AC1265" t="n">
        <v>28</v>
      </c>
      <c r="AD1265" t="n">
        <v>1</v>
      </c>
      <c r="AE1265" t="n">
        <v>1</v>
      </c>
      <c r="AF1265" t="n">
        <v>2</v>
      </c>
      <c r="AG1265" t="n">
        <v>2</v>
      </c>
      <c r="AH1265" t="n">
        <v>0</v>
      </c>
      <c r="AI1265" t="n">
        <v>0</v>
      </c>
      <c r="AJ1265" t="n">
        <v>2</v>
      </c>
      <c r="AK1265" t="n">
        <v>2</v>
      </c>
      <c r="AL1265" t="n">
        <v>1</v>
      </c>
      <c r="AM1265" t="n">
        <v>1</v>
      </c>
      <c r="AN1265" t="n">
        <v>0</v>
      </c>
      <c r="AO1265" t="n">
        <v>0</v>
      </c>
      <c r="AP1265" t="n">
        <v>0</v>
      </c>
      <c r="AQ1265" t="n">
        <v>0</v>
      </c>
      <c r="AR1265" t="inlineStr">
        <is>
          <t>No</t>
        </is>
      </c>
      <c r="AS1265" t="inlineStr">
        <is>
          <t>No</t>
        </is>
      </c>
      <c r="AU1265">
        <f>HYPERLINK("https://creighton-primo.hosted.exlibrisgroup.com/primo-explore/search?tab=default_tab&amp;search_scope=EVERYTHING&amp;vid=01CRU&amp;lang=en_US&amp;offset=0&amp;query=any,contains,991003714719702656","Catalog Record")</f>
        <v/>
      </c>
      <c r="AV1265">
        <f>HYPERLINK("http://www.worldcat.org/oclc/10841682","WorldCat Record")</f>
        <v/>
      </c>
      <c r="AW1265" t="inlineStr">
        <is>
          <t>3571531:spa</t>
        </is>
      </c>
      <c r="AX1265" t="inlineStr">
        <is>
          <t>10841682</t>
        </is>
      </c>
      <c r="AY1265" t="inlineStr">
        <is>
          <t>991003714719702656</t>
        </is>
      </c>
      <c r="AZ1265" t="inlineStr">
        <is>
          <t>991003714719702656</t>
        </is>
      </c>
      <c r="BA1265" t="inlineStr">
        <is>
          <t>2263244310002656</t>
        </is>
      </c>
      <c r="BB1265" t="inlineStr">
        <is>
          <t>BOOK</t>
        </is>
      </c>
      <c r="BE1265" t="inlineStr">
        <is>
          <t>32285004449897</t>
        </is>
      </c>
      <c r="BF1265" t="inlineStr">
        <is>
          <t>893499610</t>
        </is>
      </c>
    </row>
    <row r="1266">
      <c r="A1266" t="inlineStr">
        <is>
          <t>No</t>
        </is>
      </c>
      <c r="B1266" t="inlineStr">
        <is>
          <t>CURAL</t>
        </is>
      </c>
      <c r="C1266" t="inlineStr">
        <is>
          <t>SHELVES</t>
        </is>
      </c>
      <c r="D1266" t="inlineStr">
        <is>
          <t>PQ8549.O8 Z85 1975</t>
        </is>
      </c>
      <c r="E1266" t="inlineStr">
        <is>
          <t>0                      PQ 8549000O  8                  Z  85          1975</t>
        </is>
      </c>
      <c r="F1266" t="inlineStr">
        <is>
          <t>Miguel Otero Silva, su obra literaria / Fernando Paz Castillo.</t>
        </is>
      </c>
      <c r="H1266" t="inlineStr">
        <is>
          <t>No</t>
        </is>
      </c>
      <c r="I1266" t="inlineStr">
        <is>
          <t>1</t>
        </is>
      </c>
      <c r="J1266" t="inlineStr">
        <is>
          <t>No</t>
        </is>
      </c>
      <c r="K1266" t="inlineStr">
        <is>
          <t>No</t>
        </is>
      </c>
      <c r="L1266" t="inlineStr">
        <is>
          <t>0</t>
        </is>
      </c>
      <c r="M1266" t="inlineStr">
        <is>
          <t>Paz Castillo, Fernando, 1893-1981.</t>
        </is>
      </c>
      <c r="N1266" t="inlineStr">
        <is>
          <t>Caracas : Dirección de Cultura, Universidad Central de Venezuela, 1975.</t>
        </is>
      </c>
      <c r="O1266" t="inlineStr">
        <is>
          <t>1975</t>
        </is>
      </c>
      <c r="Q1266" t="inlineStr">
        <is>
          <t>spa</t>
        </is>
      </c>
      <c r="R1266" t="inlineStr">
        <is>
          <t xml:space="preserve">ve </t>
        </is>
      </c>
      <c r="S1266" t="inlineStr">
        <is>
          <t>Cuadernos de crítica literaria ; 2. ser., 4</t>
        </is>
      </c>
      <c r="T1266" t="inlineStr">
        <is>
          <t xml:space="preserve">PQ </t>
        </is>
      </c>
      <c r="U1266" t="n">
        <v>1</v>
      </c>
      <c r="V1266" t="n">
        <v>1</v>
      </c>
      <c r="W1266" t="inlineStr">
        <is>
          <t>2002-07-02</t>
        </is>
      </c>
      <c r="X1266" t="inlineStr">
        <is>
          <t>2002-07-02</t>
        </is>
      </c>
      <c r="Y1266" t="inlineStr">
        <is>
          <t>2002-07-01</t>
        </is>
      </c>
      <c r="Z1266" t="inlineStr">
        <is>
          <t>2002-07-01</t>
        </is>
      </c>
      <c r="AA1266" t="n">
        <v>40</v>
      </c>
      <c r="AB1266" t="n">
        <v>27</v>
      </c>
      <c r="AC1266" t="n">
        <v>29</v>
      </c>
      <c r="AD1266" t="n">
        <v>1</v>
      </c>
      <c r="AE1266" t="n">
        <v>1</v>
      </c>
      <c r="AF1266" t="n">
        <v>1</v>
      </c>
      <c r="AG1266" t="n">
        <v>1</v>
      </c>
      <c r="AH1266" t="n">
        <v>0</v>
      </c>
      <c r="AI1266" t="n">
        <v>0</v>
      </c>
      <c r="AJ1266" t="n">
        <v>1</v>
      </c>
      <c r="AK1266" t="n">
        <v>1</v>
      </c>
      <c r="AL1266" t="n">
        <v>0</v>
      </c>
      <c r="AM1266" t="n">
        <v>0</v>
      </c>
      <c r="AN1266" t="n">
        <v>0</v>
      </c>
      <c r="AO1266" t="n">
        <v>0</v>
      </c>
      <c r="AP1266" t="n">
        <v>0</v>
      </c>
      <c r="AQ1266" t="n">
        <v>0</v>
      </c>
      <c r="AR1266" t="inlineStr">
        <is>
          <t>No</t>
        </is>
      </c>
      <c r="AS1266" t="inlineStr">
        <is>
          <t>Yes</t>
        </is>
      </c>
      <c r="AT1266">
        <f>HYPERLINK("http://catalog.hathitrust.org/Record/101164339","HathiTrust Record")</f>
        <v/>
      </c>
      <c r="AU1266">
        <f>HYPERLINK("https://creighton-primo.hosted.exlibrisgroup.com/primo-explore/search?tab=default_tab&amp;search_scope=EVERYTHING&amp;vid=01CRU&amp;lang=en_US&amp;offset=0&amp;query=any,contains,991003834419702656","Catalog Record")</f>
        <v/>
      </c>
      <c r="AV1266">
        <f>HYPERLINK("http://www.worldcat.org/oclc/2137925","WorldCat Record")</f>
        <v/>
      </c>
      <c r="AW1266" t="inlineStr">
        <is>
          <t>4228728:spa</t>
        </is>
      </c>
      <c r="AX1266" t="inlineStr">
        <is>
          <t>2137925</t>
        </is>
      </c>
      <c r="AY1266" t="inlineStr">
        <is>
          <t>991003834419702656</t>
        </is>
      </c>
      <c r="AZ1266" t="inlineStr">
        <is>
          <t>991003834419702656</t>
        </is>
      </c>
      <c r="BA1266" t="inlineStr">
        <is>
          <t>2267497490002656</t>
        </is>
      </c>
      <c r="BB1266" t="inlineStr">
        <is>
          <t>BOOK</t>
        </is>
      </c>
      <c r="BE1266" t="inlineStr">
        <is>
          <t>32285004495734</t>
        </is>
      </c>
      <c r="BF1266" t="inlineStr">
        <is>
          <t>893410748</t>
        </is>
      </c>
    </row>
    <row r="1267">
      <c r="A1267" t="inlineStr">
        <is>
          <t>No</t>
        </is>
      </c>
      <c r="B1267" t="inlineStr">
        <is>
          <t>CURAL</t>
        </is>
      </c>
      <c r="C1267" t="inlineStr">
        <is>
          <t>SHELVES</t>
        </is>
      </c>
      <c r="D1267" t="inlineStr">
        <is>
          <t>PQ8549.P26 A15 1972</t>
        </is>
      </c>
      <c r="E1267" t="inlineStr">
        <is>
          <t>0                      PQ 8549000P  26                 A  15          1972</t>
        </is>
      </c>
      <c r="F1267" t="inlineStr">
        <is>
          <t>Los insulares : relatos (1965-1967) / Antonia Palacios.</t>
        </is>
      </c>
      <c r="H1267" t="inlineStr">
        <is>
          <t>No</t>
        </is>
      </c>
      <c r="I1267" t="inlineStr">
        <is>
          <t>1</t>
        </is>
      </c>
      <c r="J1267" t="inlineStr">
        <is>
          <t>No</t>
        </is>
      </c>
      <c r="K1267" t="inlineStr">
        <is>
          <t>No</t>
        </is>
      </c>
      <c r="L1267" t="inlineStr">
        <is>
          <t>0</t>
        </is>
      </c>
      <c r="M1267" t="inlineStr">
        <is>
          <t>Palacios, Antonia.</t>
        </is>
      </c>
      <c r="N1267" t="inlineStr">
        <is>
          <t>[Caracas] : Monte Avila, 1972.</t>
        </is>
      </c>
      <c r="O1267" t="inlineStr">
        <is>
          <t>1972</t>
        </is>
      </c>
      <c r="Q1267" t="inlineStr">
        <is>
          <t>spa</t>
        </is>
      </c>
      <c r="R1267" t="inlineStr">
        <is>
          <t xml:space="preserve">ve </t>
        </is>
      </c>
      <c r="S1267" t="inlineStr">
        <is>
          <t>Colección Continente</t>
        </is>
      </c>
      <c r="T1267" t="inlineStr">
        <is>
          <t xml:space="preserve">PQ </t>
        </is>
      </c>
      <c r="U1267" t="n">
        <v>1</v>
      </c>
      <c r="V1267" t="n">
        <v>1</v>
      </c>
      <c r="W1267" t="inlineStr">
        <is>
          <t>2002-01-30</t>
        </is>
      </c>
      <c r="X1267" t="inlineStr">
        <is>
          <t>2002-01-30</t>
        </is>
      </c>
      <c r="Y1267" t="inlineStr">
        <is>
          <t>2002-01-30</t>
        </is>
      </c>
      <c r="Z1267" t="inlineStr">
        <is>
          <t>2002-01-30</t>
        </is>
      </c>
      <c r="AA1267" t="n">
        <v>30</v>
      </c>
      <c r="AB1267" t="n">
        <v>23</v>
      </c>
      <c r="AC1267" t="n">
        <v>24</v>
      </c>
      <c r="AD1267" t="n">
        <v>2</v>
      </c>
      <c r="AE1267" t="n">
        <v>2</v>
      </c>
      <c r="AF1267" t="n">
        <v>1</v>
      </c>
      <c r="AG1267" t="n">
        <v>1</v>
      </c>
      <c r="AH1267" t="n">
        <v>0</v>
      </c>
      <c r="AI1267" t="n">
        <v>0</v>
      </c>
      <c r="AJ1267" t="n">
        <v>0</v>
      </c>
      <c r="AK1267" t="n">
        <v>0</v>
      </c>
      <c r="AL1267" t="n">
        <v>0</v>
      </c>
      <c r="AM1267" t="n">
        <v>0</v>
      </c>
      <c r="AN1267" t="n">
        <v>1</v>
      </c>
      <c r="AO1267" t="n">
        <v>1</v>
      </c>
      <c r="AP1267" t="n">
        <v>0</v>
      </c>
      <c r="AQ1267" t="n">
        <v>0</v>
      </c>
      <c r="AR1267" t="inlineStr">
        <is>
          <t>No</t>
        </is>
      </c>
      <c r="AS1267" t="inlineStr">
        <is>
          <t>Yes</t>
        </is>
      </c>
      <c r="AT1267">
        <f>HYPERLINK("http://catalog.hathitrust.org/Record/101164346","HathiTrust Record")</f>
        <v/>
      </c>
      <c r="AU1267">
        <f>HYPERLINK("https://creighton-primo.hosted.exlibrisgroup.com/primo-explore/search?tab=default_tab&amp;search_scope=EVERYTHING&amp;vid=01CRU&amp;lang=en_US&amp;offset=0&amp;query=any,contains,991003724189702656","Catalog Record")</f>
        <v/>
      </c>
      <c r="AV1267">
        <f>HYPERLINK("http://www.worldcat.org/oclc/2088064","WorldCat Record")</f>
        <v/>
      </c>
      <c r="AW1267" t="inlineStr">
        <is>
          <t>423645649:spa</t>
        </is>
      </c>
      <c r="AX1267" t="inlineStr">
        <is>
          <t>2088064</t>
        </is>
      </c>
      <c r="AY1267" t="inlineStr">
        <is>
          <t>991003724189702656</t>
        </is>
      </c>
      <c r="AZ1267" t="inlineStr">
        <is>
          <t>991003724189702656</t>
        </is>
      </c>
      <c r="BA1267" t="inlineStr">
        <is>
          <t>2260757900002656</t>
        </is>
      </c>
      <c r="BB1267" t="inlineStr">
        <is>
          <t>BOOK</t>
        </is>
      </c>
      <c r="BE1267" t="inlineStr">
        <is>
          <t>32285004450895</t>
        </is>
      </c>
      <c r="BF1267" t="inlineStr">
        <is>
          <t>893324396</t>
        </is>
      </c>
    </row>
    <row r="1268">
      <c r="A1268" t="inlineStr">
        <is>
          <t>No</t>
        </is>
      </c>
      <c r="B1268" t="inlineStr">
        <is>
          <t>CURAL</t>
        </is>
      </c>
      <c r="C1268" t="inlineStr">
        <is>
          <t>SHELVES</t>
        </is>
      </c>
      <c r="D1268" t="inlineStr">
        <is>
          <t>PQ8549.P35 Z78 1980</t>
        </is>
      </c>
      <c r="E1268" t="inlineStr">
        <is>
          <t>0                      PQ 8549000P  35                 Z  78          1980</t>
        </is>
      </c>
      <c r="F1268" t="inlineStr">
        <is>
          <t>Teresa de la Parra ante la crítica / Lisandro Alvarado ... et [al.] ; selección, prólogo, cronología, hemerografía y foro imaginario de Velia Bosch.</t>
        </is>
      </c>
      <c r="H1268" t="inlineStr">
        <is>
          <t>No</t>
        </is>
      </c>
      <c r="I1268" t="inlineStr">
        <is>
          <t>1</t>
        </is>
      </c>
      <c r="J1268" t="inlineStr">
        <is>
          <t>No</t>
        </is>
      </c>
      <c r="K1268" t="inlineStr">
        <is>
          <t>No</t>
        </is>
      </c>
      <c r="L1268" t="inlineStr">
        <is>
          <t>0</t>
        </is>
      </c>
      <c r="N1268" t="inlineStr">
        <is>
          <t>Caracas : Monte Avila, 1980.</t>
        </is>
      </c>
      <c r="O1268" t="inlineStr">
        <is>
          <t>1980</t>
        </is>
      </c>
      <c r="Q1268" t="inlineStr">
        <is>
          <t>spa</t>
        </is>
      </c>
      <c r="R1268" t="inlineStr">
        <is>
          <t xml:space="preserve">ve </t>
        </is>
      </c>
      <c r="S1268" t="inlineStr">
        <is>
          <t>Colección Ante la crítica</t>
        </is>
      </c>
      <c r="T1268" t="inlineStr">
        <is>
          <t xml:space="preserve">PQ </t>
        </is>
      </c>
      <c r="U1268" t="n">
        <v>1</v>
      </c>
      <c r="V1268" t="n">
        <v>1</v>
      </c>
      <c r="W1268" t="inlineStr">
        <is>
          <t>2002-08-27</t>
        </is>
      </c>
      <c r="X1268" t="inlineStr">
        <is>
          <t>2002-08-27</t>
        </is>
      </c>
      <c r="Y1268" t="inlineStr">
        <is>
          <t>2002-08-27</t>
        </is>
      </c>
      <c r="Z1268" t="inlineStr">
        <is>
          <t>2002-08-27</t>
        </is>
      </c>
      <c r="AA1268" t="n">
        <v>58</v>
      </c>
      <c r="AB1268" t="n">
        <v>52</v>
      </c>
      <c r="AC1268" t="n">
        <v>80</v>
      </c>
      <c r="AD1268" t="n">
        <v>1</v>
      </c>
      <c r="AE1268" t="n">
        <v>1</v>
      </c>
      <c r="AF1268" t="n">
        <v>2</v>
      </c>
      <c r="AG1268" t="n">
        <v>3</v>
      </c>
      <c r="AH1268" t="n">
        <v>1</v>
      </c>
      <c r="AI1268" t="n">
        <v>1</v>
      </c>
      <c r="AJ1268" t="n">
        <v>1</v>
      </c>
      <c r="AK1268" t="n">
        <v>1</v>
      </c>
      <c r="AL1268" t="n">
        <v>0</v>
      </c>
      <c r="AM1268" t="n">
        <v>1</v>
      </c>
      <c r="AN1268" t="n">
        <v>0</v>
      </c>
      <c r="AO1268" t="n">
        <v>0</v>
      </c>
      <c r="AP1268" t="n">
        <v>0</v>
      </c>
      <c r="AQ1268" t="n">
        <v>0</v>
      </c>
      <c r="AR1268" t="inlineStr">
        <is>
          <t>No</t>
        </is>
      </c>
      <c r="AS1268" t="inlineStr">
        <is>
          <t>Yes</t>
        </is>
      </c>
      <c r="AT1268">
        <f>HYPERLINK("http://catalog.hathitrust.org/Record/006717085","HathiTrust Record")</f>
        <v/>
      </c>
      <c r="AU1268">
        <f>HYPERLINK("https://creighton-primo.hosted.exlibrisgroup.com/primo-explore/search?tab=default_tab&amp;search_scope=EVERYTHING&amp;vid=01CRU&amp;lang=en_US&amp;offset=0&amp;query=any,contains,991003870379702656","Catalog Record")</f>
        <v/>
      </c>
      <c r="AV1268">
        <f>HYPERLINK("http://www.worldcat.org/oclc/9694965","WorldCat Record")</f>
        <v/>
      </c>
      <c r="AW1268" t="inlineStr">
        <is>
          <t>372930176:spa</t>
        </is>
      </c>
      <c r="AX1268" t="inlineStr">
        <is>
          <t>9694965</t>
        </is>
      </c>
      <c r="AY1268" t="inlineStr">
        <is>
          <t>991003870379702656</t>
        </is>
      </c>
      <c r="AZ1268" t="inlineStr">
        <is>
          <t>991003870379702656</t>
        </is>
      </c>
      <c r="BA1268" t="inlineStr">
        <is>
          <t>2268231300002656</t>
        </is>
      </c>
      <c r="BB1268" t="inlineStr">
        <is>
          <t>BOOK</t>
        </is>
      </c>
      <c r="BE1268" t="inlineStr">
        <is>
          <t>32285004644919</t>
        </is>
      </c>
      <c r="BF1268" t="inlineStr">
        <is>
          <t>893781542</t>
        </is>
      </c>
    </row>
    <row r="1269">
      <c r="A1269" t="inlineStr">
        <is>
          <t>No</t>
        </is>
      </c>
      <c r="B1269" t="inlineStr">
        <is>
          <t>CURAL</t>
        </is>
      </c>
      <c r="C1269" t="inlineStr">
        <is>
          <t>SHELVES</t>
        </is>
      </c>
      <c r="D1269" t="inlineStr">
        <is>
          <t>PQ8549.P37 A17 1986</t>
        </is>
      </c>
      <c r="E1269" t="inlineStr">
        <is>
          <t>0                      PQ 8549000P  37                 A  17          1986</t>
        </is>
      </c>
      <c r="F1269" t="inlineStr">
        <is>
          <t>Poesía / Fernando Paz Castillo ; selección, prólogo y cronología, Oscar Sambrano Urdaneta ; bibliografía, Horacio Jorge Becco.</t>
        </is>
      </c>
      <c r="H1269" t="inlineStr">
        <is>
          <t>No</t>
        </is>
      </c>
      <c r="I1269" t="inlineStr">
        <is>
          <t>1</t>
        </is>
      </c>
      <c r="J1269" t="inlineStr">
        <is>
          <t>No</t>
        </is>
      </c>
      <c r="K1269" t="inlineStr">
        <is>
          <t>No</t>
        </is>
      </c>
      <c r="L1269" t="inlineStr">
        <is>
          <t>0</t>
        </is>
      </c>
      <c r="M1269" t="inlineStr">
        <is>
          <t>Paz Castillo, Fernando, 1893-1981.</t>
        </is>
      </c>
      <c r="N1269" t="inlineStr">
        <is>
          <t>Caracas, Venezuela : Biblioteca Ayacucho, [1986]</t>
        </is>
      </c>
      <c r="O1269" t="inlineStr">
        <is>
          <t>1986</t>
        </is>
      </c>
      <c r="Q1269" t="inlineStr">
        <is>
          <t>spa</t>
        </is>
      </c>
      <c r="R1269" t="inlineStr">
        <is>
          <t xml:space="preserve">ve </t>
        </is>
      </c>
      <c r="S1269" t="inlineStr">
        <is>
          <t>Biblioteca Ayacucho ; 120</t>
        </is>
      </c>
      <c r="T1269" t="inlineStr">
        <is>
          <t xml:space="preserve">PQ </t>
        </is>
      </c>
      <c r="U1269" t="n">
        <v>1</v>
      </c>
      <c r="V1269" t="n">
        <v>1</v>
      </c>
      <c r="W1269" t="inlineStr">
        <is>
          <t>2001-11-19</t>
        </is>
      </c>
      <c r="X1269" t="inlineStr">
        <is>
          <t>2001-11-19</t>
        </is>
      </c>
      <c r="Y1269" t="inlineStr">
        <is>
          <t>2001-11-19</t>
        </is>
      </c>
      <c r="Z1269" t="inlineStr">
        <is>
          <t>2001-11-19</t>
        </is>
      </c>
      <c r="AA1269" t="n">
        <v>128</v>
      </c>
      <c r="AB1269" t="n">
        <v>91</v>
      </c>
      <c r="AC1269" t="n">
        <v>93</v>
      </c>
      <c r="AD1269" t="n">
        <v>2</v>
      </c>
      <c r="AE1269" t="n">
        <v>2</v>
      </c>
      <c r="AF1269" t="n">
        <v>5</v>
      </c>
      <c r="AG1269" t="n">
        <v>5</v>
      </c>
      <c r="AH1269" t="n">
        <v>0</v>
      </c>
      <c r="AI1269" t="n">
        <v>0</v>
      </c>
      <c r="AJ1269" t="n">
        <v>3</v>
      </c>
      <c r="AK1269" t="n">
        <v>3</v>
      </c>
      <c r="AL1269" t="n">
        <v>3</v>
      </c>
      <c r="AM1269" t="n">
        <v>3</v>
      </c>
      <c r="AN1269" t="n">
        <v>1</v>
      </c>
      <c r="AO1269" t="n">
        <v>1</v>
      </c>
      <c r="AP1269" t="n">
        <v>0</v>
      </c>
      <c r="AQ1269" t="n">
        <v>0</v>
      </c>
      <c r="AR1269" t="inlineStr">
        <is>
          <t>No</t>
        </is>
      </c>
      <c r="AS1269" t="inlineStr">
        <is>
          <t>Yes</t>
        </is>
      </c>
      <c r="AT1269">
        <f>HYPERLINK("http://catalog.hathitrust.org/Record/002879844","HathiTrust Record")</f>
        <v/>
      </c>
      <c r="AU1269">
        <f>HYPERLINK("https://creighton-primo.hosted.exlibrisgroup.com/primo-explore/search?tab=default_tab&amp;search_scope=EVERYTHING&amp;vid=01CRU&amp;lang=en_US&amp;offset=0&amp;query=any,contains,991003681619702656","Catalog Record")</f>
        <v/>
      </c>
      <c r="AV1269">
        <f>HYPERLINK("http://www.worldcat.org/oclc/15543274","WorldCat Record")</f>
        <v/>
      </c>
      <c r="AW1269" t="inlineStr">
        <is>
          <t>8531979:spa</t>
        </is>
      </c>
      <c r="AX1269" t="inlineStr">
        <is>
          <t>15543274</t>
        </is>
      </c>
      <c r="AY1269" t="inlineStr">
        <is>
          <t>991003681619702656</t>
        </is>
      </c>
      <c r="AZ1269" t="inlineStr">
        <is>
          <t>991003681619702656</t>
        </is>
      </c>
      <c r="BA1269" t="inlineStr">
        <is>
          <t>2263689590002656</t>
        </is>
      </c>
      <c r="BB1269" t="inlineStr">
        <is>
          <t>BOOK</t>
        </is>
      </c>
      <c r="BD1269" t="inlineStr">
        <is>
          <t>9789802760077</t>
        </is>
      </c>
      <c r="BE1269" t="inlineStr">
        <is>
          <t>32285004412358</t>
        </is>
      </c>
      <c r="BF1269" t="inlineStr">
        <is>
          <t>893252635</t>
        </is>
      </c>
    </row>
    <row r="1270">
      <c r="A1270" t="inlineStr">
        <is>
          <t>No</t>
        </is>
      </c>
      <c r="B1270" t="inlineStr">
        <is>
          <t>CURAL</t>
        </is>
      </c>
      <c r="C1270" t="inlineStr">
        <is>
          <t>SHELVES</t>
        </is>
      </c>
      <c r="D1270" t="inlineStr">
        <is>
          <t>PQ8549.P5 A6 1962</t>
        </is>
      </c>
      <c r="E1270" t="inlineStr">
        <is>
          <t>0                      PQ 8549000P  5                  A  6           1962</t>
        </is>
      </c>
      <c r="F1270" t="inlineStr">
        <is>
          <t>Obras selectas / Mariano Picon-Salas.</t>
        </is>
      </c>
      <c r="H1270" t="inlineStr">
        <is>
          <t>No</t>
        </is>
      </c>
      <c r="I1270" t="inlineStr">
        <is>
          <t>1</t>
        </is>
      </c>
      <c r="J1270" t="inlineStr">
        <is>
          <t>No</t>
        </is>
      </c>
      <c r="K1270" t="inlineStr">
        <is>
          <t>No</t>
        </is>
      </c>
      <c r="L1270" t="inlineStr">
        <is>
          <t>0</t>
        </is>
      </c>
      <c r="M1270" t="inlineStr">
        <is>
          <t>Picón-Salas, Mariano, 1901-1965.</t>
        </is>
      </c>
      <c r="N1270" t="inlineStr">
        <is>
          <t>Madrid : Ediciones Edime, 1962.</t>
        </is>
      </c>
      <c r="O1270" t="inlineStr">
        <is>
          <t>1962</t>
        </is>
      </c>
      <c r="P1270" t="inlineStr">
        <is>
          <t>2. ed., corr. y augm.</t>
        </is>
      </c>
      <c r="Q1270" t="inlineStr">
        <is>
          <t>spa</t>
        </is>
      </c>
      <c r="R1270" t="inlineStr">
        <is>
          <t xml:space="preserve">sp </t>
        </is>
      </c>
      <c r="T1270" t="inlineStr">
        <is>
          <t xml:space="preserve">PQ </t>
        </is>
      </c>
      <c r="U1270" t="n">
        <v>1</v>
      </c>
      <c r="V1270" t="n">
        <v>1</v>
      </c>
      <c r="W1270" t="inlineStr">
        <is>
          <t>2004-08-05</t>
        </is>
      </c>
      <c r="X1270" t="inlineStr">
        <is>
          <t>2004-08-05</t>
        </is>
      </c>
      <c r="Y1270" t="inlineStr">
        <is>
          <t>2004-08-05</t>
        </is>
      </c>
      <c r="Z1270" t="inlineStr">
        <is>
          <t>2004-08-05</t>
        </is>
      </c>
      <c r="AA1270" t="n">
        <v>79</v>
      </c>
      <c r="AB1270" t="n">
        <v>70</v>
      </c>
      <c r="AC1270" t="n">
        <v>108</v>
      </c>
      <c r="AD1270" t="n">
        <v>3</v>
      </c>
      <c r="AE1270" t="n">
        <v>3</v>
      </c>
      <c r="AF1270" t="n">
        <v>6</v>
      </c>
      <c r="AG1270" t="n">
        <v>6</v>
      </c>
      <c r="AH1270" t="n">
        <v>0</v>
      </c>
      <c r="AI1270" t="n">
        <v>0</v>
      </c>
      <c r="AJ1270" t="n">
        <v>2</v>
      </c>
      <c r="AK1270" t="n">
        <v>2</v>
      </c>
      <c r="AL1270" t="n">
        <v>2</v>
      </c>
      <c r="AM1270" t="n">
        <v>2</v>
      </c>
      <c r="AN1270" t="n">
        <v>2</v>
      </c>
      <c r="AO1270" t="n">
        <v>2</v>
      </c>
      <c r="AP1270" t="n">
        <v>0</v>
      </c>
      <c r="AQ1270" t="n">
        <v>0</v>
      </c>
      <c r="AR1270" t="inlineStr">
        <is>
          <t>No</t>
        </is>
      </c>
      <c r="AS1270" t="inlineStr">
        <is>
          <t>Yes</t>
        </is>
      </c>
      <c r="AT1270">
        <f>HYPERLINK("http://catalog.hathitrust.org/Record/007347606","HathiTrust Record")</f>
        <v/>
      </c>
      <c r="AU1270">
        <f>HYPERLINK("https://creighton-primo.hosted.exlibrisgroup.com/primo-explore/search?tab=default_tab&amp;search_scope=EVERYTHING&amp;vid=01CRU&amp;lang=en_US&amp;offset=0&amp;query=any,contains,991004339899702656","Catalog Record")</f>
        <v/>
      </c>
      <c r="AV1270">
        <f>HYPERLINK("http://www.worldcat.org/oclc/2170577","WorldCat Record")</f>
        <v/>
      </c>
      <c r="AW1270" t="inlineStr">
        <is>
          <t>4134123:spa</t>
        </is>
      </c>
      <c r="AX1270" t="inlineStr">
        <is>
          <t>2170577</t>
        </is>
      </c>
      <c r="AY1270" t="inlineStr">
        <is>
          <t>991004339899702656</t>
        </is>
      </c>
      <c r="AZ1270" t="inlineStr">
        <is>
          <t>991004339899702656</t>
        </is>
      </c>
      <c r="BA1270" t="inlineStr">
        <is>
          <t>2262077370002656</t>
        </is>
      </c>
      <c r="BB1270" t="inlineStr">
        <is>
          <t>BOOK</t>
        </is>
      </c>
      <c r="BE1270" t="inlineStr">
        <is>
          <t>32285004929583</t>
        </is>
      </c>
      <c r="BF1270" t="inlineStr">
        <is>
          <t>893331468</t>
        </is>
      </c>
    </row>
    <row r="1271">
      <c r="A1271" t="inlineStr">
        <is>
          <t>No</t>
        </is>
      </c>
      <c r="B1271" t="inlineStr">
        <is>
          <t>CURAL</t>
        </is>
      </c>
      <c r="C1271" t="inlineStr">
        <is>
          <t>SHELVES</t>
        </is>
      </c>
      <c r="D1271" t="inlineStr">
        <is>
          <t>PQ8549.P5 A6 1983</t>
        </is>
      </c>
      <c r="E1271" t="inlineStr">
        <is>
          <t>0                      PQ 8549000P  5                  A  6           1983</t>
        </is>
      </c>
      <c r="F1271" t="inlineStr">
        <is>
          <t>Viejos y nuevos mundos / Mariano Picón Salas ; selección, prólogo y cronología, Guillermo Sucre.</t>
        </is>
      </c>
      <c r="H1271" t="inlineStr">
        <is>
          <t>No</t>
        </is>
      </c>
      <c r="I1271" t="inlineStr">
        <is>
          <t>1</t>
        </is>
      </c>
      <c r="J1271" t="inlineStr">
        <is>
          <t>No</t>
        </is>
      </c>
      <c r="K1271" t="inlineStr">
        <is>
          <t>No</t>
        </is>
      </c>
      <c r="L1271" t="inlineStr">
        <is>
          <t>0</t>
        </is>
      </c>
      <c r="M1271" t="inlineStr">
        <is>
          <t>Picón-Salas, Mariano, 1901-1965.</t>
        </is>
      </c>
      <c r="N1271" t="inlineStr">
        <is>
          <t>Caracas, Venezuela : Biblioteca Ayacucho, [1983]</t>
        </is>
      </c>
      <c r="O1271" t="inlineStr">
        <is>
          <t>1983</t>
        </is>
      </c>
      <c r="Q1271" t="inlineStr">
        <is>
          <t>spa</t>
        </is>
      </c>
      <c r="R1271" t="inlineStr">
        <is>
          <t xml:space="preserve">ve </t>
        </is>
      </c>
      <c r="S1271" t="inlineStr">
        <is>
          <t>Biblioteca Ayacucho ; 101</t>
        </is>
      </c>
      <c r="T1271" t="inlineStr">
        <is>
          <t xml:space="preserve">PQ </t>
        </is>
      </c>
      <c r="U1271" t="n">
        <v>1</v>
      </c>
      <c r="V1271" t="n">
        <v>1</v>
      </c>
      <c r="W1271" t="inlineStr">
        <is>
          <t>2001-11-19</t>
        </is>
      </c>
      <c r="X1271" t="inlineStr">
        <is>
          <t>2001-11-19</t>
        </is>
      </c>
      <c r="Y1271" t="inlineStr">
        <is>
          <t>2001-11-19</t>
        </is>
      </c>
      <c r="Z1271" t="inlineStr">
        <is>
          <t>2001-11-19</t>
        </is>
      </c>
      <c r="AA1271" t="n">
        <v>162</v>
      </c>
      <c r="AB1271" t="n">
        <v>119</v>
      </c>
      <c r="AC1271" t="n">
        <v>122</v>
      </c>
      <c r="AD1271" t="n">
        <v>2</v>
      </c>
      <c r="AE1271" t="n">
        <v>2</v>
      </c>
      <c r="AF1271" t="n">
        <v>7</v>
      </c>
      <c r="AG1271" t="n">
        <v>7</v>
      </c>
      <c r="AH1271" t="n">
        <v>0</v>
      </c>
      <c r="AI1271" t="n">
        <v>0</v>
      </c>
      <c r="AJ1271" t="n">
        <v>4</v>
      </c>
      <c r="AK1271" t="n">
        <v>4</v>
      </c>
      <c r="AL1271" t="n">
        <v>4</v>
      </c>
      <c r="AM1271" t="n">
        <v>4</v>
      </c>
      <c r="AN1271" t="n">
        <v>1</v>
      </c>
      <c r="AO1271" t="n">
        <v>1</v>
      </c>
      <c r="AP1271" t="n">
        <v>0</v>
      </c>
      <c r="AQ1271" t="n">
        <v>0</v>
      </c>
      <c r="AR1271" t="inlineStr">
        <is>
          <t>No</t>
        </is>
      </c>
      <c r="AS1271" t="inlineStr">
        <is>
          <t>Yes</t>
        </is>
      </c>
      <c r="AT1271">
        <f>HYPERLINK("http://catalog.hathitrust.org/Record/000881627","HathiTrust Record")</f>
        <v/>
      </c>
      <c r="AU1271">
        <f>HYPERLINK("https://creighton-primo.hosted.exlibrisgroup.com/primo-explore/search?tab=default_tab&amp;search_scope=EVERYTHING&amp;vid=01CRU&amp;lang=en_US&amp;offset=0&amp;query=any,contains,991003681679702656","Catalog Record")</f>
        <v/>
      </c>
      <c r="AV1271">
        <f>HYPERLINK("http://www.worldcat.org/oclc/10802644","WorldCat Record")</f>
        <v/>
      </c>
      <c r="AW1271" t="inlineStr">
        <is>
          <t>227662069:spa</t>
        </is>
      </c>
      <c r="AX1271" t="inlineStr">
        <is>
          <t>10802644</t>
        </is>
      </c>
      <c r="AY1271" t="inlineStr">
        <is>
          <t>991003681679702656</t>
        </is>
      </c>
      <c r="AZ1271" t="inlineStr">
        <is>
          <t>991003681679702656</t>
        </is>
      </c>
      <c r="BA1271" t="inlineStr">
        <is>
          <t>2267764300002656</t>
        </is>
      </c>
      <c r="BB1271" t="inlineStr">
        <is>
          <t>BOOK</t>
        </is>
      </c>
      <c r="BD1271" t="inlineStr">
        <is>
          <t>9788466001120</t>
        </is>
      </c>
      <c r="BE1271" t="inlineStr">
        <is>
          <t>32285004412366</t>
        </is>
      </c>
      <c r="BF1271" t="inlineStr">
        <is>
          <t>893711651</t>
        </is>
      </c>
    </row>
    <row r="1272">
      <c r="A1272" t="inlineStr">
        <is>
          <t>No</t>
        </is>
      </c>
      <c r="B1272" t="inlineStr">
        <is>
          <t>CURAL</t>
        </is>
      </c>
      <c r="C1272" t="inlineStr">
        <is>
          <t>SHELVES</t>
        </is>
      </c>
      <c r="D1272" t="inlineStr">
        <is>
          <t>PQ8549.R6 P4x 1976</t>
        </is>
      </c>
      <c r="E1272" t="inlineStr">
        <is>
          <t>0                      PQ 8549000R  6                  P  4x          1976</t>
        </is>
      </c>
      <c r="F1272" t="inlineStr">
        <is>
          <t>Peonía : (semi-novela) / Manuel Vicente Romero García ; prólogo de Edoardo Crema.</t>
        </is>
      </c>
      <c r="H1272" t="inlineStr">
        <is>
          <t>No</t>
        </is>
      </c>
      <c r="I1272" t="inlineStr">
        <is>
          <t>1</t>
        </is>
      </c>
      <c r="J1272" t="inlineStr">
        <is>
          <t>No</t>
        </is>
      </c>
      <c r="K1272" t="inlineStr">
        <is>
          <t>No</t>
        </is>
      </c>
      <c r="L1272" t="inlineStr">
        <is>
          <t>0</t>
        </is>
      </c>
      <c r="M1272" t="inlineStr">
        <is>
          <t>Romero García, Manuel Vicente, 1865-1917.</t>
        </is>
      </c>
      <c r="N1272" t="inlineStr">
        <is>
          <t>Caracas, Venezuela : Monte Avila Editores, [1976]</t>
        </is>
      </c>
      <c r="O1272" t="inlineStr">
        <is>
          <t>1976</t>
        </is>
      </c>
      <c r="P1272" t="inlineStr">
        <is>
          <t>2a ed. en Colección Eldorado.</t>
        </is>
      </c>
      <c r="Q1272" t="inlineStr">
        <is>
          <t>spa</t>
        </is>
      </c>
      <c r="R1272" t="inlineStr">
        <is>
          <t xml:space="preserve">ve </t>
        </is>
      </c>
      <c r="S1272" t="inlineStr">
        <is>
          <t>Colección Eldorado</t>
        </is>
      </c>
      <c r="T1272" t="inlineStr">
        <is>
          <t xml:space="preserve">PQ </t>
        </is>
      </c>
      <c r="U1272" t="n">
        <v>1</v>
      </c>
      <c r="V1272" t="n">
        <v>1</v>
      </c>
      <c r="W1272" t="inlineStr">
        <is>
          <t>2004-08-05</t>
        </is>
      </c>
      <c r="X1272" t="inlineStr">
        <is>
          <t>2004-08-05</t>
        </is>
      </c>
      <c r="Y1272" t="inlineStr">
        <is>
          <t>2004-08-05</t>
        </is>
      </c>
      <c r="Z1272" t="inlineStr">
        <is>
          <t>2004-08-05</t>
        </is>
      </c>
      <c r="AA1272" t="n">
        <v>12</v>
      </c>
      <c r="AB1272" t="n">
        <v>10</v>
      </c>
      <c r="AC1272" t="n">
        <v>34</v>
      </c>
      <c r="AD1272" t="n">
        <v>2</v>
      </c>
      <c r="AE1272" t="n">
        <v>2</v>
      </c>
      <c r="AF1272" t="n">
        <v>2</v>
      </c>
      <c r="AG1272" t="n">
        <v>2</v>
      </c>
      <c r="AH1272" t="n">
        <v>0</v>
      </c>
      <c r="AI1272" t="n">
        <v>0</v>
      </c>
      <c r="AJ1272" t="n">
        <v>0</v>
      </c>
      <c r="AK1272" t="n">
        <v>0</v>
      </c>
      <c r="AL1272" t="n">
        <v>1</v>
      </c>
      <c r="AM1272" t="n">
        <v>1</v>
      </c>
      <c r="AN1272" t="n">
        <v>1</v>
      </c>
      <c r="AO1272" t="n">
        <v>1</v>
      </c>
      <c r="AP1272" t="n">
        <v>0</v>
      </c>
      <c r="AQ1272" t="n">
        <v>0</v>
      </c>
      <c r="AR1272" t="inlineStr">
        <is>
          <t>No</t>
        </is>
      </c>
      <c r="AS1272" t="inlineStr">
        <is>
          <t>No</t>
        </is>
      </c>
      <c r="AU1272">
        <f>HYPERLINK("https://creighton-primo.hosted.exlibrisgroup.com/primo-explore/search?tab=default_tab&amp;search_scope=EVERYTHING&amp;vid=01CRU&amp;lang=en_US&amp;offset=0&amp;query=any,contains,991004341549702656","Catalog Record")</f>
        <v/>
      </c>
      <c r="AV1272">
        <f>HYPERLINK("http://www.worldcat.org/oclc/3083877","WorldCat Record")</f>
        <v/>
      </c>
      <c r="AW1272" t="inlineStr">
        <is>
          <t>3943265777:spa</t>
        </is>
      </c>
      <c r="AX1272" t="inlineStr">
        <is>
          <t>3083877</t>
        </is>
      </c>
      <c r="AY1272" t="inlineStr">
        <is>
          <t>991004341549702656</t>
        </is>
      </c>
      <c r="AZ1272" t="inlineStr">
        <is>
          <t>991004341549702656</t>
        </is>
      </c>
      <c r="BA1272" t="inlineStr">
        <is>
          <t>2267797890002656</t>
        </is>
      </c>
      <c r="BB1272" t="inlineStr">
        <is>
          <t>BOOK</t>
        </is>
      </c>
      <c r="BE1272" t="inlineStr">
        <is>
          <t>32285004929070</t>
        </is>
      </c>
      <c r="BF1272" t="inlineStr">
        <is>
          <t>893417511</t>
        </is>
      </c>
    </row>
    <row r="1273">
      <c r="A1273" t="inlineStr">
        <is>
          <t>No</t>
        </is>
      </c>
      <c r="B1273" t="inlineStr">
        <is>
          <t>CURAL</t>
        </is>
      </c>
      <c r="C1273" t="inlineStr">
        <is>
          <t>SHELVES</t>
        </is>
      </c>
      <c r="D1273" t="inlineStr">
        <is>
          <t>PQ8549.T7 A8 1968</t>
        </is>
      </c>
      <c r="E1273" t="inlineStr">
        <is>
          <t>0                      PQ 8549000T  7                  A  8           1968</t>
        </is>
      </c>
      <c r="F1273" t="inlineStr">
        <is>
          <t>Andén lejano : novela / Oswaldo Trejo.</t>
        </is>
      </c>
      <c r="H1273" t="inlineStr">
        <is>
          <t>No</t>
        </is>
      </c>
      <c r="I1273" t="inlineStr">
        <is>
          <t>1</t>
        </is>
      </c>
      <c r="J1273" t="inlineStr">
        <is>
          <t>No</t>
        </is>
      </c>
      <c r="K1273" t="inlineStr">
        <is>
          <t>No</t>
        </is>
      </c>
      <c r="L1273" t="inlineStr">
        <is>
          <t>0</t>
        </is>
      </c>
      <c r="M1273" t="inlineStr">
        <is>
          <t>Trejo, Oswaldo.</t>
        </is>
      </c>
      <c r="N1273" t="inlineStr">
        <is>
          <t>Caracas : Monte Avila Editores, [1968]</t>
        </is>
      </c>
      <c r="O1273" t="inlineStr">
        <is>
          <t>1968</t>
        </is>
      </c>
      <c r="Q1273" t="inlineStr">
        <is>
          <t>spa</t>
        </is>
      </c>
      <c r="R1273" t="inlineStr">
        <is>
          <t xml:space="preserve">ve </t>
        </is>
      </c>
      <c r="S1273" t="inlineStr">
        <is>
          <t>Colección Prisma</t>
        </is>
      </c>
      <c r="T1273" t="inlineStr">
        <is>
          <t xml:space="preserve">PQ </t>
        </is>
      </c>
      <c r="U1273" t="n">
        <v>1</v>
      </c>
      <c r="V1273" t="n">
        <v>1</v>
      </c>
      <c r="W1273" t="inlineStr">
        <is>
          <t>2002-06-13</t>
        </is>
      </c>
      <c r="X1273" t="inlineStr">
        <is>
          <t>2002-06-13</t>
        </is>
      </c>
      <c r="Y1273" t="inlineStr">
        <is>
          <t>2002-06-13</t>
        </is>
      </c>
      <c r="Z1273" t="inlineStr">
        <is>
          <t>2002-06-13</t>
        </is>
      </c>
      <c r="AA1273" t="n">
        <v>97</v>
      </c>
      <c r="AB1273" t="n">
        <v>75</v>
      </c>
      <c r="AC1273" t="n">
        <v>78</v>
      </c>
      <c r="AD1273" t="n">
        <v>2</v>
      </c>
      <c r="AE1273" t="n">
        <v>2</v>
      </c>
      <c r="AF1273" t="n">
        <v>1</v>
      </c>
      <c r="AG1273" t="n">
        <v>1</v>
      </c>
      <c r="AH1273" t="n">
        <v>0</v>
      </c>
      <c r="AI1273" t="n">
        <v>0</v>
      </c>
      <c r="AJ1273" t="n">
        <v>0</v>
      </c>
      <c r="AK1273" t="n">
        <v>0</v>
      </c>
      <c r="AL1273" t="n">
        <v>0</v>
      </c>
      <c r="AM1273" t="n">
        <v>0</v>
      </c>
      <c r="AN1273" t="n">
        <v>1</v>
      </c>
      <c r="AO1273" t="n">
        <v>1</v>
      </c>
      <c r="AP1273" t="n">
        <v>0</v>
      </c>
      <c r="AQ1273" t="n">
        <v>0</v>
      </c>
      <c r="AR1273" t="inlineStr">
        <is>
          <t>No</t>
        </is>
      </c>
      <c r="AS1273" t="inlineStr">
        <is>
          <t>Yes</t>
        </is>
      </c>
      <c r="AT1273">
        <f>HYPERLINK("http://catalog.hathitrust.org/Record/001056184","HathiTrust Record")</f>
        <v/>
      </c>
      <c r="AU1273">
        <f>HYPERLINK("https://creighton-primo.hosted.exlibrisgroup.com/primo-explore/search?tab=default_tab&amp;search_scope=EVERYTHING&amp;vid=01CRU&amp;lang=en_US&amp;offset=0&amp;query=any,contains,991003817949702656","Catalog Record")</f>
        <v/>
      </c>
      <c r="AV1273">
        <f>HYPERLINK("http://www.worldcat.org/oclc/785221","WorldCat Record")</f>
        <v/>
      </c>
      <c r="AW1273" t="inlineStr">
        <is>
          <t>1718523:spa</t>
        </is>
      </c>
      <c r="AX1273" t="inlineStr">
        <is>
          <t>785221</t>
        </is>
      </c>
      <c r="AY1273" t="inlineStr">
        <is>
          <t>991003817949702656</t>
        </is>
      </c>
      <c r="AZ1273" t="inlineStr">
        <is>
          <t>991003817949702656</t>
        </is>
      </c>
      <c r="BA1273" t="inlineStr">
        <is>
          <t>2265613750002656</t>
        </is>
      </c>
      <c r="BB1273" t="inlineStr">
        <is>
          <t>BOOK</t>
        </is>
      </c>
      <c r="BE1273" t="inlineStr">
        <is>
          <t>32285004494513</t>
        </is>
      </c>
      <c r="BF1273" t="inlineStr">
        <is>
          <t>893330845</t>
        </is>
      </c>
    </row>
    <row r="1274">
      <c r="A1274" t="inlineStr">
        <is>
          <t>No</t>
        </is>
      </c>
      <c r="B1274" t="inlineStr">
        <is>
          <t>CURAL</t>
        </is>
      </c>
      <c r="C1274" t="inlineStr">
        <is>
          <t>SHELVES</t>
        </is>
      </c>
      <c r="D1274" t="inlineStr">
        <is>
          <t>PQ8549.U7 A16 1969</t>
        </is>
      </c>
      <c r="E1274" t="inlineStr">
        <is>
          <t>0                      PQ 8549000U  7                  A  16          1969</t>
        </is>
      </c>
      <c r="F1274" t="inlineStr">
        <is>
          <t>En busca del Nuevo Mundo / Arturo Uslar-Pietri.</t>
        </is>
      </c>
      <c r="H1274" t="inlineStr">
        <is>
          <t>No</t>
        </is>
      </c>
      <c r="I1274" t="inlineStr">
        <is>
          <t>1</t>
        </is>
      </c>
      <c r="J1274" t="inlineStr">
        <is>
          <t>No</t>
        </is>
      </c>
      <c r="K1274" t="inlineStr">
        <is>
          <t>No</t>
        </is>
      </c>
      <c r="L1274" t="inlineStr">
        <is>
          <t>0</t>
        </is>
      </c>
      <c r="M1274" t="inlineStr">
        <is>
          <t>Uslar Pietri, Arturo, 1906-2001.</t>
        </is>
      </c>
      <c r="N1274" t="inlineStr">
        <is>
          <t>México : Fondo de Cultura Económica, [1969]</t>
        </is>
      </c>
      <c r="O1274" t="inlineStr">
        <is>
          <t>1969</t>
        </is>
      </c>
      <c r="P1274" t="inlineStr">
        <is>
          <t>[1. ed.].</t>
        </is>
      </c>
      <c r="Q1274" t="inlineStr">
        <is>
          <t>spa</t>
        </is>
      </c>
      <c r="R1274" t="inlineStr">
        <is>
          <t xml:space="preserve">mx </t>
        </is>
      </c>
      <c r="S1274" t="inlineStr">
        <is>
          <t>Colección popular ; 93</t>
        </is>
      </c>
      <c r="T1274" t="inlineStr">
        <is>
          <t xml:space="preserve">PQ </t>
        </is>
      </c>
      <c r="U1274" t="n">
        <v>1</v>
      </c>
      <c r="V1274" t="n">
        <v>1</v>
      </c>
      <c r="W1274" t="inlineStr">
        <is>
          <t>2004-08-05</t>
        </is>
      </c>
      <c r="X1274" t="inlineStr">
        <is>
          <t>2004-08-05</t>
        </is>
      </c>
      <c r="Y1274" t="inlineStr">
        <is>
          <t>2004-08-05</t>
        </is>
      </c>
      <c r="Z1274" t="inlineStr">
        <is>
          <t>2004-08-05</t>
        </is>
      </c>
      <c r="AA1274" t="n">
        <v>216</v>
      </c>
      <c r="AB1274" t="n">
        <v>165</v>
      </c>
      <c r="AC1274" t="n">
        <v>172</v>
      </c>
      <c r="AD1274" t="n">
        <v>1</v>
      </c>
      <c r="AE1274" t="n">
        <v>1</v>
      </c>
      <c r="AF1274" t="n">
        <v>6</v>
      </c>
      <c r="AG1274" t="n">
        <v>6</v>
      </c>
      <c r="AH1274" t="n">
        <v>1</v>
      </c>
      <c r="AI1274" t="n">
        <v>1</v>
      </c>
      <c r="AJ1274" t="n">
        <v>3</v>
      </c>
      <c r="AK1274" t="n">
        <v>3</v>
      </c>
      <c r="AL1274" t="n">
        <v>4</v>
      </c>
      <c r="AM1274" t="n">
        <v>4</v>
      </c>
      <c r="AN1274" t="n">
        <v>0</v>
      </c>
      <c r="AO1274" t="n">
        <v>0</v>
      </c>
      <c r="AP1274" t="n">
        <v>0</v>
      </c>
      <c r="AQ1274" t="n">
        <v>0</v>
      </c>
      <c r="AR1274" t="inlineStr">
        <is>
          <t>No</t>
        </is>
      </c>
      <c r="AS1274" t="inlineStr">
        <is>
          <t>Yes</t>
        </is>
      </c>
      <c r="AT1274">
        <f>HYPERLINK("http://catalog.hathitrust.org/Record/001972375","HathiTrust Record")</f>
        <v/>
      </c>
      <c r="AU1274">
        <f>HYPERLINK("https://creighton-primo.hosted.exlibrisgroup.com/primo-explore/search?tab=default_tab&amp;search_scope=EVERYTHING&amp;vid=01CRU&amp;lang=en_US&amp;offset=0&amp;query=any,contains,991004339569702656","Catalog Record")</f>
        <v/>
      </c>
      <c r="AV1274">
        <f>HYPERLINK("http://www.worldcat.org/oclc/1123596","WorldCat Record")</f>
        <v/>
      </c>
      <c r="AW1274" t="inlineStr">
        <is>
          <t>148061858:spa</t>
        </is>
      </c>
      <c r="AX1274" t="inlineStr">
        <is>
          <t>1123596</t>
        </is>
      </c>
      <c r="AY1274" t="inlineStr">
        <is>
          <t>991004339569702656</t>
        </is>
      </c>
      <c r="AZ1274" t="inlineStr">
        <is>
          <t>991004339569702656</t>
        </is>
      </c>
      <c r="BA1274" t="inlineStr">
        <is>
          <t>2265313510002656</t>
        </is>
      </c>
      <c r="BB1274" t="inlineStr">
        <is>
          <t>BOOK</t>
        </is>
      </c>
      <c r="BE1274" t="inlineStr">
        <is>
          <t>32285004929211</t>
        </is>
      </c>
      <c r="BF1274" t="inlineStr">
        <is>
          <t>893794748</t>
        </is>
      </c>
    </row>
    <row r="1275">
      <c r="A1275" t="inlineStr">
        <is>
          <t>No</t>
        </is>
      </c>
      <c r="B1275" t="inlineStr">
        <is>
          <t>CURAL</t>
        </is>
      </c>
      <c r="C1275" t="inlineStr">
        <is>
          <t>SHELVES</t>
        </is>
      </c>
      <c r="D1275" t="inlineStr">
        <is>
          <t>PQ8549.U7 B3 1978</t>
        </is>
      </c>
      <c r="E1275" t="inlineStr">
        <is>
          <t>0                      PQ 8549000U  7                  B  3           1978</t>
        </is>
      </c>
      <c r="F1275" t="inlineStr">
        <is>
          <t>Barrabas y otros relatos / Arturo Uslar Pietri.</t>
        </is>
      </c>
      <c r="H1275" t="inlineStr">
        <is>
          <t>No</t>
        </is>
      </c>
      <c r="I1275" t="inlineStr">
        <is>
          <t>1</t>
        </is>
      </c>
      <c r="J1275" t="inlineStr">
        <is>
          <t>No</t>
        </is>
      </c>
      <c r="K1275" t="inlineStr">
        <is>
          <t>No</t>
        </is>
      </c>
      <c r="L1275" t="inlineStr">
        <is>
          <t>0</t>
        </is>
      </c>
      <c r="M1275" t="inlineStr">
        <is>
          <t>Uslar Pietri, Arturo, 1906-2001.</t>
        </is>
      </c>
      <c r="N1275" t="inlineStr">
        <is>
          <t>Caracas : Monte Avila Editores, c1978.</t>
        </is>
      </c>
      <c r="O1275" t="inlineStr">
        <is>
          <t>1978</t>
        </is>
      </c>
      <c r="Q1275" t="inlineStr">
        <is>
          <t>spa</t>
        </is>
      </c>
      <c r="R1275" t="inlineStr">
        <is>
          <t xml:space="preserve">ve </t>
        </is>
      </c>
      <c r="S1275" t="inlineStr">
        <is>
          <t>Colección Letra viva</t>
        </is>
      </c>
      <c r="T1275" t="inlineStr">
        <is>
          <t xml:space="preserve">PQ </t>
        </is>
      </c>
      <c r="U1275" t="n">
        <v>1</v>
      </c>
      <c r="V1275" t="n">
        <v>1</v>
      </c>
      <c r="W1275" t="inlineStr">
        <is>
          <t>2002-02-25</t>
        </is>
      </c>
      <c r="X1275" t="inlineStr">
        <is>
          <t>2002-02-25</t>
        </is>
      </c>
      <c r="Y1275" t="inlineStr">
        <is>
          <t>2002-02-25</t>
        </is>
      </c>
      <c r="Z1275" t="inlineStr">
        <is>
          <t>2002-02-25</t>
        </is>
      </c>
      <c r="AA1275" t="n">
        <v>90</v>
      </c>
      <c r="AB1275" t="n">
        <v>71</v>
      </c>
      <c r="AC1275" t="n">
        <v>96</v>
      </c>
      <c r="AD1275" t="n">
        <v>1</v>
      </c>
      <c r="AE1275" t="n">
        <v>1</v>
      </c>
      <c r="AF1275" t="n">
        <v>3</v>
      </c>
      <c r="AG1275" t="n">
        <v>3</v>
      </c>
      <c r="AH1275" t="n">
        <v>1</v>
      </c>
      <c r="AI1275" t="n">
        <v>1</v>
      </c>
      <c r="AJ1275" t="n">
        <v>2</v>
      </c>
      <c r="AK1275" t="n">
        <v>2</v>
      </c>
      <c r="AL1275" t="n">
        <v>1</v>
      </c>
      <c r="AM1275" t="n">
        <v>1</v>
      </c>
      <c r="AN1275" t="n">
        <v>0</v>
      </c>
      <c r="AO1275" t="n">
        <v>0</v>
      </c>
      <c r="AP1275" t="n">
        <v>0</v>
      </c>
      <c r="AQ1275" t="n">
        <v>0</v>
      </c>
      <c r="AR1275" t="inlineStr">
        <is>
          <t>No</t>
        </is>
      </c>
      <c r="AS1275" t="inlineStr">
        <is>
          <t>Yes</t>
        </is>
      </c>
      <c r="AT1275">
        <f>HYPERLINK("http://catalog.hathitrust.org/Record/007863330","HathiTrust Record")</f>
        <v/>
      </c>
      <c r="AU1275">
        <f>HYPERLINK("https://creighton-primo.hosted.exlibrisgroup.com/primo-explore/search?tab=default_tab&amp;search_scope=EVERYTHING&amp;vid=01CRU&amp;lang=en_US&amp;offset=0&amp;query=any,contains,991003750499702656","Catalog Record")</f>
        <v/>
      </c>
      <c r="AV1275">
        <f>HYPERLINK("http://www.worldcat.org/oclc/5173389","WorldCat Record")</f>
        <v/>
      </c>
      <c r="AW1275" t="inlineStr">
        <is>
          <t>2452440144:spa</t>
        </is>
      </c>
      <c r="AX1275" t="inlineStr">
        <is>
          <t>5173389</t>
        </is>
      </c>
      <c r="AY1275" t="inlineStr">
        <is>
          <t>991003750499702656</t>
        </is>
      </c>
      <c r="AZ1275" t="inlineStr">
        <is>
          <t>991003750499702656</t>
        </is>
      </c>
      <c r="BA1275" t="inlineStr">
        <is>
          <t>2257574760002656</t>
        </is>
      </c>
      <c r="BB1275" t="inlineStr">
        <is>
          <t>BOOK</t>
        </is>
      </c>
      <c r="BE1275" t="inlineStr">
        <is>
          <t>32285004457429</t>
        </is>
      </c>
      <c r="BF1275" t="inlineStr">
        <is>
          <t>893445832</t>
        </is>
      </c>
    </row>
    <row r="1276">
      <c r="A1276" t="inlineStr">
        <is>
          <t>No</t>
        </is>
      </c>
      <c r="B1276" t="inlineStr">
        <is>
          <t>CURAL</t>
        </is>
      </c>
      <c r="C1276" t="inlineStr">
        <is>
          <t>SHELVES</t>
        </is>
      </c>
      <c r="D1276" t="inlineStr">
        <is>
          <t>PQ8549.U7 I8 1981</t>
        </is>
      </c>
      <c r="E1276" t="inlineStr">
        <is>
          <t>0                      PQ 8549000U  7                  I  8           1981</t>
        </is>
      </c>
      <c r="F1276" t="inlineStr">
        <is>
          <t>La isla de Raobinson / Arturo Uslar Pietri.</t>
        </is>
      </c>
      <c r="H1276" t="inlineStr">
        <is>
          <t>No</t>
        </is>
      </c>
      <c r="I1276" t="inlineStr">
        <is>
          <t>1</t>
        </is>
      </c>
      <c r="J1276" t="inlineStr">
        <is>
          <t>No</t>
        </is>
      </c>
      <c r="K1276" t="inlineStr">
        <is>
          <t>No</t>
        </is>
      </c>
      <c r="L1276" t="inlineStr">
        <is>
          <t>0</t>
        </is>
      </c>
      <c r="M1276" t="inlineStr">
        <is>
          <t>Uslar Pietri, Arturo, 1906-2001.</t>
        </is>
      </c>
      <c r="N1276" t="inlineStr">
        <is>
          <t>Barcelona : Editorial Seix Barral, 1981.</t>
        </is>
      </c>
      <c r="O1276" t="inlineStr">
        <is>
          <t>1981</t>
        </is>
      </c>
      <c r="P1276" t="inlineStr">
        <is>
          <t>1a. ed.</t>
        </is>
      </c>
      <c r="Q1276" t="inlineStr">
        <is>
          <t>spa</t>
        </is>
      </c>
      <c r="R1276" t="inlineStr">
        <is>
          <t xml:space="preserve">sp </t>
        </is>
      </c>
      <c r="S1276" t="inlineStr">
        <is>
          <t>Biblioteca breve ; 473</t>
        </is>
      </c>
      <c r="T1276" t="inlineStr">
        <is>
          <t xml:space="preserve">PQ </t>
        </is>
      </c>
      <c r="U1276" t="n">
        <v>1</v>
      </c>
      <c r="V1276" t="n">
        <v>1</v>
      </c>
      <c r="W1276" t="inlineStr">
        <is>
          <t>2004-08-02</t>
        </is>
      </c>
      <c r="X1276" t="inlineStr">
        <is>
          <t>2004-08-02</t>
        </is>
      </c>
      <c r="Y1276" t="inlineStr">
        <is>
          <t>2004-08-02</t>
        </is>
      </c>
      <c r="Z1276" t="inlineStr">
        <is>
          <t>2004-08-02</t>
        </is>
      </c>
      <c r="AA1276" t="n">
        <v>131</v>
      </c>
      <c r="AB1276" t="n">
        <v>98</v>
      </c>
      <c r="AC1276" t="n">
        <v>141</v>
      </c>
      <c r="AD1276" t="n">
        <v>1</v>
      </c>
      <c r="AE1276" t="n">
        <v>1</v>
      </c>
      <c r="AF1276" t="n">
        <v>5</v>
      </c>
      <c r="AG1276" t="n">
        <v>5</v>
      </c>
      <c r="AH1276" t="n">
        <v>2</v>
      </c>
      <c r="AI1276" t="n">
        <v>2</v>
      </c>
      <c r="AJ1276" t="n">
        <v>2</v>
      </c>
      <c r="AK1276" t="n">
        <v>2</v>
      </c>
      <c r="AL1276" t="n">
        <v>4</v>
      </c>
      <c r="AM1276" t="n">
        <v>4</v>
      </c>
      <c r="AN1276" t="n">
        <v>0</v>
      </c>
      <c r="AO1276" t="n">
        <v>0</v>
      </c>
      <c r="AP1276" t="n">
        <v>0</v>
      </c>
      <c r="AQ1276" t="n">
        <v>0</v>
      </c>
      <c r="AR1276" t="inlineStr">
        <is>
          <t>No</t>
        </is>
      </c>
      <c r="AS1276" t="inlineStr">
        <is>
          <t>Yes</t>
        </is>
      </c>
      <c r="AT1276">
        <f>HYPERLINK("http://catalog.hathitrust.org/Record/006684013","HathiTrust Record")</f>
        <v/>
      </c>
      <c r="AU1276">
        <f>HYPERLINK("https://creighton-primo.hosted.exlibrisgroup.com/primo-explore/search?tab=default_tab&amp;search_scope=EVERYTHING&amp;vid=01CRU&amp;lang=en_US&amp;offset=0&amp;query=any,contains,991004332869702656","Catalog Record")</f>
        <v/>
      </c>
      <c r="AV1276">
        <f>HYPERLINK("http://www.worldcat.org/oclc/8042636","WorldCat Record")</f>
        <v/>
      </c>
      <c r="AW1276" t="inlineStr">
        <is>
          <t>5619814323:spa</t>
        </is>
      </c>
      <c r="AX1276" t="inlineStr">
        <is>
          <t>8042636</t>
        </is>
      </c>
      <c r="AY1276" t="inlineStr">
        <is>
          <t>991004332869702656</t>
        </is>
      </c>
      <c r="AZ1276" t="inlineStr">
        <is>
          <t>991004332869702656</t>
        </is>
      </c>
      <c r="BA1276" t="inlineStr">
        <is>
          <t>2257771300002656</t>
        </is>
      </c>
      <c r="BB1276" t="inlineStr">
        <is>
          <t>BOOK</t>
        </is>
      </c>
      <c r="BD1276" t="inlineStr">
        <is>
          <t>9788432203923</t>
        </is>
      </c>
      <c r="BE1276" t="inlineStr">
        <is>
          <t>32285004925359</t>
        </is>
      </c>
      <c r="BF1276" t="inlineStr">
        <is>
          <t>893436160</t>
        </is>
      </c>
    </row>
    <row r="1277">
      <c r="A1277" t="inlineStr">
        <is>
          <t>No</t>
        </is>
      </c>
      <c r="B1277" t="inlineStr">
        <is>
          <t>CURAL</t>
        </is>
      </c>
      <c r="C1277" t="inlineStr">
        <is>
          <t>SHELVES</t>
        </is>
      </c>
      <c r="D1277" t="inlineStr">
        <is>
          <t>PQ8549.U7 O4 1976</t>
        </is>
      </c>
      <c r="E1277" t="inlineStr">
        <is>
          <t>0                      PQ 8549000U  7                  O  4           1976</t>
        </is>
      </c>
      <c r="F1277" t="inlineStr">
        <is>
          <t>Oficio de difuntos / Arturo Uslar Pietri.</t>
        </is>
      </c>
      <c r="H1277" t="inlineStr">
        <is>
          <t>No</t>
        </is>
      </c>
      <c r="I1277" t="inlineStr">
        <is>
          <t>1</t>
        </is>
      </c>
      <c r="J1277" t="inlineStr">
        <is>
          <t>No</t>
        </is>
      </c>
      <c r="K1277" t="inlineStr">
        <is>
          <t>No</t>
        </is>
      </c>
      <c r="L1277" t="inlineStr">
        <is>
          <t>0</t>
        </is>
      </c>
      <c r="M1277" t="inlineStr">
        <is>
          <t>Uslar Pietri, Arturo, 1906-2001.</t>
        </is>
      </c>
      <c r="N1277" t="inlineStr">
        <is>
          <t>Barcelona : Seix Barral, 1976.</t>
        </is>
      </c>
      <c r="O1277" t="inlineStr">
        <is>
          <t>1976</t>
        </is>
      </c>
      <c r="P1277" t="inlineStr">
        <is>
          <t>1. ed.</t>
        </is>
      </c>
      <c r="Q1277" t="inlineStr">
        <is>
          <t>spa</t>
        </is>
      </c>
      <c r="R1277" t="inlineStr">
        <is>
          <t xml:space="preserve">sp </t>
        </is>
      </c>
      <c r="S1277" t="inlineStr">
        <is>
          <t>Biblioteca breve ; 419 : Novela</t>
        </is>
      </c>
      <c r="T1277" t="inlineStr">
        <is>
          <t xml:space="preserve">PQ </t>
        </is>
      </c>
      <c r="U1277" t="n">
        <v>1</v>
      </c>
      <c r="V1277" t="n">
        <v>1</v>
      </c>
      <c r="W1277" t="inlineStr">
        <is>
          <t>2003-04-14</t>
        </is>
      </c>
      <c r="X1277" t="inlineStr">
        <is>
          <t>2003-04-14</t>
        </is>
      </c>
      <c r="Y1277" t="inlineStr">
        <is>
          <t>2003-04-14</t>
        </is>
      </c>
      <c r="Z1277" t="inlineStr">
        <is>
          <t>2003-04-14</t>
        </is>
      </c>
      <c r="AA1277" t="n">
        <v>257</v>
      </c>
      <c r="AB1277" t="n">
        <v>204</v>
      </c>
      <c r="AC1277" t="n">
        <v>241</v>
      </c>
      <c r="AD1277" t="n">
        <v>1</v>
      </c>
      <c r="AE1277" t="n">
        <v>2</v>
      </c>
      <c r="AF1277" t="n">
        <v>4</v>
      </c>
      <c r="AG1277" t="n">
        <v>5</v>
      </c>
      <c r="AH1277" t="n">
        <v>0</v>
      </c>
      <c r="AI1277" t="n">
        <v>0</v>
      </c>
      <c r="AJ1277" t="n">
        <v>3</v>
      </c>
      <c r="AK1277" t="n">
        <v>3</v>
      </c>
      <c r="AL1277" t="n">
        <v>3</v>
      </c>
      <c r="AM1277" t="n">
        <v>3</v>
      </c>
      <c r="AN1277" t="n">
        <v>0</v>
      </c>
      <c r="AO1277" t="n">
        <v>1</v>
      </c>
      <c r="AP1277" t="n">
        <v>0</v>
      </c>
      <c r="AQ1277" t="n">
        <v>0</v>
      </c>
      <c r="AR1277" t="inlineStr">
        <is>
          <t>No</t>
        </is>
      </c>
      <c r="AS1277" t="inlineStr">
        <is>
          <t>Yes</t>
        </is>
      </c>
      <c r="AT1277">
        <f>HYPERLINK("http://catalog.hathitrust.org/Record/007862913","HathiTrust Record")</f>
        <v/>
      </c>
      <c r="AU1277">
        <f>HYPERLINK("https://creighton-primo.hosted.exlibrisgroup.com/primo-explore/search?tab=default_tab&amp;search_scope=EVERYTHING&amp;vid=01CRU&amp;lang=en_US&amp;offset=0&amp;query=any,contains,991004026799702656","Catalog Record")</f>
        <v/>
      </c>
      <c r="AV1277">
        <f>HYPERLINK("http://www.worldcat.org/oclc/3033382","WorldCat Record")</f>
        <v/>
      </c>
      <c r="AW1277" t="inlineStr">
        <is>
          <t>48396720:spa</t>
        </is>
      </c>
      <c r="AX1277" t="inlineStr">
        <is>
          <t>3033382</t>
        </is>
      </c>
      <c r="AY1277" t="inlineStr">
        <is>
          <t>991004026799702656</t>
        </is>
      </c>
      <c r="AZ1277" t="inlineStr">
        <is>
          <t>991004026799702656</t>
        </is>
      </c>
      <c r="BA1277" t="inlineStr">
        <is>
          <t>2264097710002656</t>
        </is>
      </c>
      <c r="BB1277" t="inlineStr">
        <is>
          <t>BOOK</t>
        </is>
      </c>
      <c r="BD1277" t="inlineStr">
        <is>
          <t>9788432203039</t>
        </is>
      </c>
      <c r="BE1277" t="inlineStr">
        <is>
          <t>32285004742416</t>
        </is>
      </c>
      <c r="BF1277" t="inlineStr">
        <is>
          <t>893429571</t>
        </is>
      </c>
    </row>
    <row r="1278">
      <c r="A1278" t="inlineStr">
        <is>
          <t>No</t>
        </is>
      </c>
      <c r="B1278" t="inlineStr">
        <is>
          <t>CURAL</t>
        </is>
      </c>
      <c r="C1278" t="inlineStr">
        <is>
          <t>SHELVES</t>
        </is>
      </c>
      <c r="D1278" t="inlineStr">
        <is>
          <t>PQ8549.U7 Z8 1969</t>
        </is>
      </c>
      <c r="E1278" t="inlineStr">
        <is>
          <t>0                      PQ 8549000U  7                  Z  8           1969</t>
        </is>
      </c>
      <c r="F1278" t="inlineStr">
        <is>
          <t>Uslar Pietri : renovador del cuento venezolano / Domingo Miliani.</t>
        </is>
      </c>
      <c r="H1278" t="inlineStr">
        <is>
          <t>No</t>
        </is>
      </c>
      <c r="I1278" t="inlineStr">
        <is>
          <t>1</t>
        </is>
      </c>
      <c r="J1278" t="inlineStr">
        <is>
          <t>No</t>
        </is>
      </c>
      <c r="K1278" t="inlineStr">
        <is>
          <t>No</t>
        </is>
      </c>
      <c r="L1278" t="inlineStr">
        <is>
          <t>0</t>
        </is>
      </c>
      <c r="M1278" t="inlineStr">
        <is>
          <t>Miliani, Domingo.</t>
        </is>
      </c>
      <c r="N1278" t="inlineStr">
        <is>
          <t>Caracas : Monte Avila Editores, 1969.</t>
        </is>
      </c>
      <c r="O1278" t="inlineStr">
        <is>
          <t>1969</t>
        </is>
      </c>
      <c r="Q1278" t="inlineStr">
        <is>
          <t>spa</t>
        </is>
      </c>
      <c r="R1278" t="inlineStr">
        <is>
          <t xml:space="preserve">ve </t>
        </is>
      </c>
      <c r="S1278" t="inlineStr">
        <is>
          <t>Colección Estudios</t>
        </is>
      </c>
      <c r="T1278" t="inlineStr">
        <is>
          <t xml:space="preserve">PQ </t>
        </is>
      </c>
      <c r="U1278" t="n">
        <v>1</v>
      </c>
      <c r="V1278" t="n">
        <v>1</v>
      </c>
      <c r="W1278" t="inlineStr">
        <is>
          <t>2002-02-05</t>
        </is>
      </c>
      <c r="X1278" t="inlineStr">
        <is>
          <t>2002-02-05</t>
        </is>
      </c>
      <c r="Y1278" t="inlineStr">
        <is>
          <t>2002-02-05</t>
        </is>
      </c>
      <c r="Z1278" t="inlineStr">
        <is>
          <t>2002-02-05</t>
        </is>
      </c>
      <c r="AA1278" t="n">
        <v>176</v>
      </c>
      <c r="AB1278" t="n">
        <v>140</v>
      </c>
      <c r="AC1278" t="n">
        <v>151</v>
      </c>
      <c r="AD1278" t="n">
        <v>2</v>
      </c>
      <c r="AE1278" t="n">
        <v>2</v>
      </c>
      <c r="AF1278" t="n">
        <v>6</v>
      </c>
      <c r="AG1278" t="n">
        <v>6</v>
      </c>
      <c r="AH1278" t="n">
        <v>0</v>
      </c>
      <c r="AI1278" t="n">
        <v>0</v>
      </c>
      <c r="AJ1278" t="n">
        <v>2</v>
      </c>
      <c r="AK1278" t="n">
        <v>2</v>
      </c>
      <c r="AL1278" t="n">
        <v>4</v>
      </c>
      <c r="AM1278" t="n">
        <v>4</v>
      </c>
      <c r="AN1278" t="n">
        <v>1</v>
      </c>
      <c r="AO1278" t="n">
        <v>1</v>
      </c>
      <c r="AP1278" t="n">
        <v>0</v>
      </c>
      <c r="AQ1278" t="n">
        <v>0</v>
      </c>
      <c r="AR1278" t="inlineStr">
        <is>
          <t>No</t>
        </is>
      </c>
      <c r="AS1278" t="inlineStr">
        <is>
          <t>Yes</t>
        </is>
      </c>
      <c r="AT1278">
        <f>HYPERLINK("http://catalog.hathitrust.org/Record/101384156","HathiTrust Record")</f>
        <v/>
      </c>
      <c r="AU1278">
        <f>HYPERLINK("https://creighton-primo.hosted.exlibrisgroup.com/primo-explore/search?tab=default_tab&amp;search_scope=EVERYTHING&amp;vid=01CRU&amp;lang=en_US&amp;offset=0&amp;query=any,contains,991003730739702656","Catalog Record")</f>
        <v/>
      </c>
      <c r="AV1278">
        <f>HYPERLINK("http://www.worldcat.org/oclc/47229818","WorldCat Record")</f>
        <v/>
      </c>
      <c r="AW1278" t="inlineStr">
        <is>
          <t>147689070:spa</t>
        </is>
      </c>
      <c r="AX1278" t="inlineStr">
        <is>
          <t>47229818</t>
        </is>
      </c>
      <c r="AY1278" t="inlineStr">
        <is>
          <t>991003730739702656</t>
        </is>
      </c>
      <c r="AZ1278" t="inlineStr">
        <is>
          <t>991003730739702656</t>
        </is>
      </c>
      <c r="BA1278" t="inlineStr">
        <is>
          <t>2272322660002656</t>
        </is>
      </c>
      <c r="BB1278" t="inlineStr">
        <is>
          <t>BOOK</t>
        </is>
      </c>
      <c r="BE1278" t="inlineStr">
        <is>
          <t>32285004452214</t>
        </is>
      </c>
      <c r="BF1278" t="inlineStr">
        <is>
          <t>893800083</t>
        </is>
      </c>
    </row>
    <row r="1279">
      <c r="A1279" t="inlineStr">
        <is>
          <t>No</t>
        </is>
      </c>
      <c r="B1279" t="inlineStr">
        <is>
          <t>CURAL</t>
        </is>
      </c>
      <c r="C1279" t="inlineStr">
        <is>
          <t>SHELVES</t>
        </is>
      </c>
      <c r="D1279" t="inlineStr">
        <is>
          <t>PQ8549.U7 Z89 1984</t>
        </is>
      </c>
      <c r="E1279" t="inlineStr">
        <is>
          <t>0                      PQ 8549000U  7                  Z  89          1984</t>
        </is>
      </c>
      <c r="F1279" t="inlineStr">
        <is>
          <t>El Valor humano de Arturo Uslar Pietri : homenaje de la Academia Nacional de la Historia a su numerario Dr. Arturo Uslar Pietri / Academia Nacional de la Historia ; ediciaon dirigida por Tomaas Polanco Alcaantara.</t>
        </is>
      </c>
      <c r="H1279" t="inlineStr">
        <is>
          <t>No</t>
        </is>
      </c>
      <c r="I1279" t="inlineStr">
        <is>
          <t>1</t>
        </is>
      </c>
      <c r="J1279" t="inlineStr">
        <is>
          <t>No</t>
        </is>
      </c>
      <c r="K1279" t="inlineStr">
        <is>
          <t>No</t>
        </is>
      </c>
      <c r="L1279" t="inlineStr">
        <is>
          <t>0</t>
        </is>
      </c>
      <c r="N1279" t="inlineStr">
        <is>
          <t>Caracas : La Academia, 1984.</t>
        </is>
      </c>
      <c r="O1279" t="inlineStr">
        <is>
          <t>1984</t>
        </is>
      </c>
      <c r="Q1279" t="inlineStr">
        <is>
          <t>spa</t>
        </is>
      </c>
      <c r="R1279" t="inlineStr">
        <is>
          <t xml:space="preserve">ve </t>
        </is>
      </c>
      <c r="T1279" t="inlineStr">
        <is>
          <t xml:space="preserve">PQ </t>
        </is>
      </c>
      <c r="U1279" t="n">
        <v>1</v>
      </c>
      <c r="V1279" t="n">
        <v>1</v>
      </c>
      <c r="W1279" t="inlineStr">
        <is>
          <t>2004-08-02</t>
        </is>
      </c>
      <c r="X1279" t="inlineStr">
        <is>
          <t>2004-08-02</t>
        </is>
      </c>
      <c r="Y1279" t="inlineStr">
        <is>
          <t>2004-08-02</t>
        </is>
      </c>
      <c r="Z1279" t="inlineStr">
        <is>
          <t>2004-08-02</t>
        </is>
      </c>
      <c r="AA1279" t="n">
        <v>51</v>
      </c>
      <c r="AB1279" t="n">
        <v>35</v>
      </c>
      <c r="AC1279" t="n">
        <v>41</v>
      </c>
      <c r="AD1279" t="n">
        <v>1</v>
      </c>
      <c r="AE1279" t="n">
        <v>1</v>
      </c>
      <c r="AF1279" t="n">
        <v>2</v>
      </c>
      <c r="AG1279" t="n">
        <v>2</v>
      </c>
      <c r="AH1279" t="n">
        <v>0</v>
      </c>
      <c r="AI1279" t="n">
        <v>0</v>
      </c>
      <c r="AJ1279" t="n">
        <v>2</v>
      </c>
      <c r="AK1279" t="n">
        <v>2</v>
      </c>
      <c r="AL1279" t="n">
        <v>1</v>
      </c>
      <c r="AM1279" t="n">
        <v>1</v>
      </c>
      <c r="AN1279" t="n">
        <v>0</v>
      </c>
      <c r="AO1279" t="n">
        <v>0</v>
      </c>
      <c r="AP1279" t="n">
        <v>0</v>
      </c>
      <c r="AQ1279" t="n">
        <v>0</v>
      </c>
      <c r="AR1279" t="inlineStr">
        <is>
          <t>No</t>
        </is>
      </c>
      <c r="AS1279" t="inlineStr">
        <is>
          <t>Yes</t>
        </is>
      </c>
      <c r="AT1279">
        <f>HYPERLINK("http://catalog.hathitrust.org/Record/006717077","HathiTrust Record")</f>
        <v/>
      </c>
      <c r="AU1279">
        <f>HYPERLINK("https://creighton-primo.hosted.exlibrisgroup.com/primo-explore/search?tab=default_tab&amp;search_scope=EVERYTHING&amp;vid=01CRU&amp;lang=en_US&amp;offset=0&amp;query=any,contains,991004333059702656","Catalog Record")</f>
        <v/>
      </c>
      <c r="AV1279">
        <f>HYPERLINK("http://www.worldcat.org/oclc/13359967","WorldCat Record")</f>
        <v/>
      </c>
      <c r="AW1279" t="inlineStr">
        <is>
          <t>918626598:spa</t>
        </is>
      </c>
      <c r="AX1279" t="inlineStr">
        <is>
          <t>13359967</t>
        </is>
      </c>
      <c r="AY1279" t="inlineStr">
        <is>
          <t>991004333059702656</t>
        </is>
      </c>
      <c r="AZ1279" t="inlineStr">
        <is>
          <t>991004333059702656</t>
        </is>
      </c>
      <c r="BA1279" t="inlineStr">
        <is>
          <t>2261495360002656</t>
        </is>
      </c>
      <c r="BB1279" t="inlineStr">
        <is>
          <t>BOOK</t>
        </is>
      </c>
      <c r="BE1279" t="inlineStr">
        <is>
          <t>32285004925318</t>
        </is>
      </c>
      <c r="BF1279" t="inlineStr">
        <is>
          <t>893436162</t>
        </is>
      </c>
    </row>
    <row r="1280">
      <c r="A1280" t="inlineStr">
        <is>
          <t>No</t>
        </is>
      </c>
      <c r="B1280" t="inlineStr">
        <is>
          <t>CURAL</t>
        </is>
      </c>
      <c r="C1280" t="inlineStr">
        <is>
          <t>SHELVES</t>
        </is>
      </c>
      <c r="D1280" t="inlineStr">
        <is>
          <t>PQ8549.U7 Z9 1963</t>
        </is>
      </c>
      <c r="E1280" t="inlineStr">
        <is>
          <t>0                      PQ 8549000U  7                  Z  9           1963</t>
        </is>
      </c>
      <c r="F1280" t="inlineStr">
        <is>
          <t>La cuentística de Arturo Uslar Pietri / [por] José Luis Vivas.</t>
        </is>
      </c>
      <c r="H1280" t="inlineStr">
        <is>
          <t>No</t>
        </is>
      </c>
      <c r="I1280" t="inlineStr">
        <is>
          <t>1</t>
        </is>
      </c>
      <c r="J1280" t="inlineStr">
        <is>
          <t>No</t>
        </is>
      </c>
      <c r="K1280" t="inlineStr">
        <is>
          <t>No</t>
        </is>
      </c>
      <c r="L1280" t="inlineStr">
        <is>
          <t>0</t>
        </is>
      </c>
      <c r="M1280" t="inlineStr">
        <is>
          <t>Vivas Maldonado, José Luis.</t>
        </is>
      </c>
      <c r="N1280" t="inlineStr">
        <is>
          <t>Caracas : Universidad Central de Venezuela, Facultad de Humanidades y Educación, 1963.</t>
        </is>
      </c>
      <c r="O1280" t="inlineStr">
        <is>
          <t>1963</t>
        </is>
      </c>
      <c r="Q1280" t="inlineStr">
        <is>
          <t>spa</t>
        </is>
      </c>
      <c r="R1280" t="inlineStr">
        <is>
          <t xml:space="preserve">ve </t>
        </is>
      </c>
      <c r="S1280" t="inlineStr">
        <is>
          <t>Publicaciones del Decanato</t>
        </is>
      </c>
      <c r="T1280" t="inlineStr">
        <is>
          <t xml:space="preserve">PQ </t>
        </is>
      </c>
      <c r="U1280" t="n">
        <v>1</v>
      </c>
      <c r="V1280" t="n">
        <v>1</v>
      </c>
      <c r="W1280" t="inlineStr">
        <is>
          <t>2002-05-22</t>
        </is>
      </c>
      <c r="X1280" t="inlineStr">
        <is>
          <t>2002-05-22</t>
        </is>
      </c>
      <c r="Y1280" t="inlineStr">
        <is>
          <t>2002-05-16</t>
        </is>
      </c>
      <c r="Z1280" t="inlineStr">
        <is>
          <t>2002-05-16</t>
        </is>
      </c>
      <c r="AA1280" t="n">
        <v>170</v>
      </c>
      <c r="AB1280" t="n">
        <v>148</v>
      </c>
      <c r="AC1280" t="n">
        <v>152</v>
      </c>
      <c r="AD1280" t="n">
        <v>3</v>
      </c>
      <c r="AE1280" t="n">
        <v>3</v>
      </c>
      <c r="AF1280" t="n">
        <v>8</v>
      </c>
      <c r="AG1280" t="n">
        <v>8</v>
      </c>
      <c r="AH1280" t="n">
        <v>2</v>
      </c>
      <c r="AI1280" t="n">
        <v>2</v>
      </c>
      <c r="AJ1280" t="n">
        <v>4</v>
      </c>
      <c r="AK1280" t="n">
        <v>4</v>
      </c>
      <c r="AL1280" t="n">
        <v>2</v>
      </c>
      <c r="AM1280" t="n">
        <v>2</v>
      </c>
      <c r="AN1280" t="n">
        <v>2</v>
      </c>
      <c r="AO1280" t="n">
        <v>2</v>
      </c>
      <c r="AP1280" t="n">
        <v>0</v>
      </c>
      <c r="AQ1280" t="n">
        <v>0</v>
      </c>
      <c r="AR1280" t="inlineStr">
        <is>
          <t>No</t>
        </is>
      </c>
      <c r="AS1280" t="inlineStr">
        <is>
          <t>Yes</t>
        </is>
      </c>
      <c r="AT1280">
        <f>HYPERLINK("http://catalog.hathitrust.org/Record/001721342","HathiTrust Record")</f>
        <v/>
      </c>
      <c r="AU1280">
        <f>HYPERLINK("https://creighton-primo.hosted.exlibrisgroup.com/primo-explore/search?tab=default_tab&amp;search_scope=EVERYTHING&amp;vid=01CRU&amp;lang=en_US&amp;offset=0&amp;query=any,contains,991003810969702656","Catalog Record")</f>
        <v/>
      </c>
      <c r="AV1280">
        <f>HYPERLINK("http://www.worldcat.org/oclc/630922","WorldCat Record")</f>
        <v/>
      </c>
      <c r="AW1280" t="inlineStr">
        <is>
          <t>366794555:spa</t>
        </is>
      </c>
      <c r="AX1280" t="inlineStr">
        <is>
          <t>630922</t>
        </is>
      </c>
      <c r="AY1280" t="inlineStr">
        <is>
          <t>991003810969702656</t>
        </is>
      </c>
      <c r="AZ1280" t="inlineStr">
        <is>
          <t>991003810969702656</t>
        </is>
      </c>
      <c r="BA1280" t="inlineStr">
        <is>
          <t>2262318180002656</t>
        </is>
      </c>
      <c r="BB1280" t="inlineStr">
        <is>
          <t>BOOK</t>
        </is>
      </c>
      <c r="BE1280" t="inlineStr">
        <is>
          <t>32285004489109</t>
        </is>
      </c>
      <c r="BF1280" t="inlineStr">
        <is>
          <t>893429250</t>
        </is>
      </c>
    </row>
    <row r="1281">
      <c r="A1281" t="inlineStr">
        <is>
          <t>No</t>
        </is>
      </c>
      <c r="B1281" t="inlineStr">
        <is>
          <t>CURAL</t>
        </is>
      </c>
      <c r="C1281" t="inlineStr">
        <is>
          <t>SHELVES</t>
        </is>
      </c>
      <c r="D1281" t="inlineStr">
        <is>
          <t>PQ8550.1.L5 E8 1972</t>
        </is>
      </c>
      <c r="E1281" t="inlineStr">
        <is>
          <t>0                      PQ 8550100L  5                  E  8           1972</t>
        </is>
      </c>
      <c r="F1281" t="inlineStr">
        <is>
          <t>Esta vida del diablo : novela / David Alizo.</t>
        </is>
      </c>
      <c r="H1281" t="inlineStr">
        <is>
          <t>No</t>
        </is>
      </c>
      <c r="I1281" t="inlineStr">
        <is>
          <t>1</t>
        </is>
      </c>
      <c r="J1281" t="inlineStr">
        <is>
          <t>No</t>
        </is>
      </c>
      <c r="K1281" t="inlineStr">
        <is>
          <t>No</t>
        </is>
      </c>
      <c r="L1281" t="inlineStr">
        <is>
          <t>0</t>
        </is>
      </c>
      <c r="M1281" t="inlineStr">
        <is>
          <t>Alizo, David.</t>
        </is>
      </c>
      <c r="N1281" t="inlineStr">
        <is>
          <t>[Caracas] : Monte Avila Editores, [c1972]</t>
        </is>
      </c>
      <c r="O1281" t="inlineStr">
        <is>
          <t>1972</t>
        </is>
      </c>
      <c r="Q1281" t="inlineStr">
        <is>
          <t>spa</t>
        </is>
      </c>
      <c r="R1281" t="inlineStr">
        <is>
          <t xml:space="preserve">ve </t>
        </is>
      </c>
      <c r="S1281" t="inlineStr">
        <is>
          <t>Colección Continente ; 406</t>
        </is>
      </c>
      <c r="T1281" t="inlineStr">
        <is>
          <t xml:space="preserve">PQ </t>
        </is>
      </c>
      <c r="U1281" t="n">
        <v>1</v>
      </c>
      <c r="V1281" t="n">
        <v>1</v>
      </c>
      <c r="W1281" t="inlineStr">
        <is>
          <t>2003-05-14</t>
        </is>
      </c>
      <c r="X1281" t="inlineStr">
        <is>
          <t>2003-05-14</t>
        </is>
      </c>
      <c r="Y1281" t="inlineStr">
        <is>
          <t>2003-05-14</t>
        </is>
      </c>
      <c r="Z1281" t="inlineStr">
        <is>
          <t>2003-05-14</t>
        </is>
      </c>
      <c r="AA1281" t="n">
        <v>35</v>
      </c>
      <c r="AB1281" t="n">
        <v>27</v>
      </c>
      <c r="AC1281" t="n">
        <v>28</v>
      </c>
      <c r="AD1281" t="n">
        <v>2</v>
      </c>
      <c r="AE1281" t="n">
        <v>2</v>
      </c>
      <c r="AF1281" t="n">
        <v>1</v>
      </c>
      <c r="AG1281" t="n">
        <v>1</v>
      </c>
      <c r="AH1281" t="n">
        <v>0</v>
      </c>
      <c r="AI1281" t="n">
        <v>0</v>
      </c>
      <c r="AJ1281" t="n">
        <v>0</v>
      </c>
      <c r="AK1281" t="n">
        <v>0</v>
      </c>
      <c r="AL1281" t="n">
        <v>0</v>
      </c>
      <c r="AM1281" t="n">
        <v>0</v>
      </c>
      <c r="AN1281" t="n">
        <v>1</v>
      </c>
      <c r="AO1281" t="n">
        <v>1</v>
      </c>
      <c r="AP1281" t="n">
        <v>0</v>
      </c>
      <c r="AQ1281" t="n">
        <v>0</v>
      </c>
      <c r="AR1281" t="inlineStr">
        <is>
          <t>No</t>
        </is>
      </c>
      <c r="AS1281" t="inlineStr">
        <is>
          <t>Yes</t>
        </is>
      </c>
      <c r="AT1281">
        <f>HYPERLINK("http://catalog.hathitrust.org/Record/101164649","HathiTrust Record")</f>
        <v/>
      </c>
      <c r="AU1281">
        <f>HYPERLINK("https://creighton-primo.hosted.exlibrisgroup.com/primo-explore/search?tab=default_tab&amp;search_scope=EVERYTHING&amp;vid=01CRU&amp;lang=en_US&amp;offset=0&amp;query=any,contains,991004052489702656","Catalog Record")</f>
        <v/>
      </c>
      <c r="AV1281">
        <f>HYPERLINK("http://www.worldcat.org/oclc/1886883","WorldCat Record")</f>
        <v/>
      </c>
      <c r="AW1281" t="inlineStr">
        <is>
          <t>365800618:spa</t>
        </is>
      </c>
      <c r="AX1281" t="inlineStr">
        <is>
          <t>1886883</t>
        </is>
      </c>
      <c r="AY1281" t="inlineStr">
        <is>
          <t>991004052489702656</t>
        </is>
      </c>
      <c r="AZ1281" t="inlineStr">
        <is>
          <t>991004052489702656</t>
        </is>
      </c>
      <c r="BA1281" t="inlineStr">
        <is>
          <t>2255820940002656</t>
        </is>
      </c>
      <c r="BB1281" t="inlineStr">
        <is>
          <t>BOOK</t>
        </is>
      </c>
      <c r="BE1281" t="inlineStr">
        <is>
          <t>32285004632542</t>
        </is>
      </c>
      <c r="BF1281" t="inlineStr">
        <is>
          <t>893881998</t>
        </is>
      </c>
    </row>
    <row r="1282">
      <c r="A1282" t="inlineStr">
        <is>
          <t>No</t>
        </is>
      </c>
      <c r="B1282" t="inlineStr">
        <is>
          <t>CURAL</t>
        </is>
      </c>
      <c r="C1282" t="inlineStr">
        <is>
          <t>SHELVES</t>
        </is>
      </c>
      <c r="D1282" t="inlineStr">
        <is>
          <t>PQ8550.12.R5 A64 1979</t>
        </is>
      </c>
      <c r="E1282" t="inlineStr">
        <is>
          <t>0                      PQ 8550120R  5                  A  64          1979</t>
        </is>
      </c>
      <c r="F1282" t="inlineStr">
        <is>
          <t>Abrapalabra / Luis Britto García</t>
        </is>
      </c>
      <c r="H1282" t="inlineStr">
        <is>
          <t>No</t>
        </is>
      </c>
      <c r="I1282" t="inlineStr">
        <is>
          <t>1</t>
        </is>
      </c>
      <c r="J1282" t="inlineStr">
        <is>
          <t>No</t>
        </is>
      </c>
      <c r="K1282" t="inlineStr">
        <is>
          <t>No</t>
        </is>
      </c>
      <c r="L1282" t="inlineStr">
        <is>
          <t>0</t>
        </is>
      </c>
      <c r="M1282" t="inlineStr">
        <is>
          <t>Britto García, Luis.</t>
        </is>
      </c>
      <c r="N1282" t="inlineStr">
        <is>
          <t>Caracas : Monte Avila Editores, 1979</t>
        </is>
      </c>
      <c r="O1282" t="inlineStr">
        <is>
          <t>1979</t>
        </is>
      </c>
      <c r="Q1282" t="inlineStr">
        <is>
          <t>spa</t>
        </is>
      </c>
      <c r="R1282" t="inlineStr">
        <is>
          <t xml:space="preserve">ve </t>
        </is>
      </c>
      <c r="S1282" t="inlineStr">
        <is>
          <t>Colección Continentes</t>
        </is>
      </c>
      <c r="T1282" t="inlineStr">
        <is>
          <t xml:space="preserve">PQ </t>
        </is>
      </c>
      <c r="U1282" t="n">
        <v>1</v>
      </c>
      <c r="V1282" t="n">
        <v>1</v>
      </c>
      <c r="W1282" t="inlineStr">
        <is>
          <t>2002-06-20</t>
        </is>
      </c>
      <c r="X1282" t="inlineStr">
        <is>
          <t>2002-06-20</t>
        </is>
      </c>
      <c r="Y1282" t="inlineStr">
        <is>
          <t>2002-06-20</t>
        </is>
      </c>
      <c r="Z1282" t="inlineStr">
        <is>
          <t>2002-06-20</t>
        </is>
      </c>
      <c r="AA1282" t="n">
        <v>31</v>
      </c>
      <c r="AB1282" t="n">
        <v>27</v>
      </c>
      <c r="AC1282" t="n">
        <v>103</v>
      </c>
      <c r="AD1282" t="n">
        <v>1</v>
      </c>
      <c r="AE1282" t="n">
        <v>2</v>
      </c>
      <c r="AF1282" t="n">
        <v>1</v>
      </c>
      <c r="AG1282" t="n">
        <v>4</v>
      </c>
      <c r="AH1282" t="n">
        <v>0</v>
      </c>
      <c r="AI1282" t="n">
        <v>0</v>
      </c>
      <c r="AJ1282" t="n">
        <v>0</v>
      </c>
      <c r="AK1282" t="n">
        <v>1</v>
      </c>
      <c r="AL1282" t="n">
        <v>1</v>
      </c>
      <c r="AM1282" t="n">
        <v>2</v>
      </c>
      <c r="AN1282" t="n">
        <v>0</v>
      </c>
      <c r="AO1282" t="n">
        <v>1</v>
      </c>
      <c r="AP1282" t="n">
        <v>0</v>
      </c>
      <c r="AQ1282" t="n">
        <v>0</v>
      </c>
      <c r="AR1282" t="inlineStr">
        <is>
          <t>No</t>
        </is>
      </c>
      <c r="AS1282" t="inlineStr">
        <is>
          <t>No</t>
        </is>
      </c>
      <c r="AU1282">
        <f>HYPERLINK("https://creighton-primo.hosted.exlibrisgroup.com/primo-explore/search?tab=default_tab&amp;search_scope=EVERYTHING&amp;vid=01CRU&amp;lang=en_US&amp;offset=0&amp;query=any,contains,991003830119702656","Catalog Record")</f>
        <v/>
      </c>
      <c r="AV1282">
        <f>HYPERLINK("http://www.worldcat.org/oclc/6655450","WorldCat Record")</f>
        <v/>
      </c>
      <c r="AW1282" t="inlineStr">
        <is>
          <t>921035:spa</t>
        </is>
      </c>
      <c r="AX1282" t="inlineStr">
        <is>
          <t>6655450</t>
        </is>
      </c>
      <c r="AY1282" t="inlineStr">
        <is>
          <t>991003830119702656</t>
        </is>
      </c>
      <c r="AZ1282" t="inlineStr">
        <is>
          <t>991003830119702656</t>
        </is>
      </c>
      <c r="BA1282" t="inlineStr">
        <is>
          <t>2261136820002656</t>
        </is>
      </c>
      <c r="BB1282" t="inlineStr">
        <is>
          <t>BOOK</t>
        </is>
      </c>
      <c r="BE1282" t="inlineStr">
        <is>
          <t>32285004495320</t>
        </is>
      </c>
      <c r="BF1282" t="inlineStr">
        <is>
          <t>893429274</t>
        </is>
      </c>
    </row>
    <row r="1283">
      <c r="A1283" t="inlineStr">
        <is>
          <t>No</t>
        </is>
      </c>
      <c r="B1283" t="inlineStr">
        <is>
          <t>CURAL</t>
        </is>
      </c>
      <c r="C1283" t="inlineStr">
        <is>
          <t>SHELVES</t>
        </is>
      </c>
      <c r="D1283" t="inlineStr">
        <is>
          <t>PQ8550.12.R5 R3 1970</t>
        </is>
      </c>
      <c r="E1283" t="inlineStr">
        <is>
          <t>0                      PQ 8550120R  5                  R  3           1970</t>
        </is>
      </c>
      <c r="F1283" t="inlineStr">
        <is>
          <t>Rajatabla / Luis Brito Garcia.</t>
        </is>
      </c>
      <c r="H1283" t="inlineStr">
        <is>
          <t>No</t>
        </is>
      </c>
      <c r="I1283" t="inlineStr">
        <is>
          <t>1</t>
        </is>
      </c>
      <c r="J1283" t="inlineStr">
        <is>
          <t>No</t>
        </is>
      </c>
      <c r="K1283" t="inlineStr">
        <is>
          <t>Yes</t>
        </is>
      </c>
      <c r="L1283" t="inlineStr">
        <is>
          <t>0</t>
        </is>
      </c>
      <c r="M1283" t="inlineStr">
        <is>
          <t>Britto García, Luis.</t>
        </is>
      </c>
      <c r="O1283" t="inlineStr">
        <is>
          <t>1970</t>
        </is>
      </c>
      <c r="P1283" t="inlineStr">
        <is>
          <t>1. ed.</t>
        </is>
      </c>
      <c r="Q1283" t="inlineStr">
        <is>
          <t>spa</t>
        </is>
      </c>
      <c r="R1283" t="inlineStr">
        <is>
          <t xml:space="preserve">cu </t>
        </is>
      </c>
      <c r="T1283" t="inlineStr">
        <is>
          <t xml:space="preserve">PQ </t>
        </is>
      </c>
      <c r="U1283" t="n">
        <v>2</v>
      </c>
      <c r="V1283" t="n">
        <v>2</v>
      </c>
      <c r="W1283" t="inlineStr">
        <is>
          <t>2002-06-13</t>
        </is>
      </c>
      <c r="X1283" t="inlineStr">
        <is>
          <t>2002-06-13</t>
        </is>
      </c>
      <c r="Y1283" t="inlineStr">
        <is>
          <t>2002-06-13</t>
        </is>
      </c>
      <c r="Z1283" t="inlineStr">
        <is>
          <t>2002-06-13</t>
        </is>
      </c>
      <c r="AA1283" t="n">
        <v>103</v>
      </c>
      <c r="AB1283" t="n">
        <v>73</v>
      </c>
      <c r="AC1283" t="n">
        <v>128</v>
      </c>
      <c r="AD1283" t="n">
        <v>1</v>
      </c>
      <c r="AE1283" t="n">
        <v>2</v>
      </c>
      <c r="AF1283" t="n">
        <v>2</v>
      </c>
      <c r="AG1283" t="n">
        <v>5</v>
      </c>
      <c r="AH1283" t="n">
        <v>0</v>
      </c>
      <c r="AI1283" t="n">
        <v>0</v>
      </c>
      <c r="AJ1283" t="n">
        <v>0</v>
      </c>
      <c r="AK1283" t="n">
        <v>2</v>
      </c>
      <c r="AL1283" t="n">
        <v>2</v>
      </c>
      <c r="AM1283" t="n">
        <v>3</v>
      </c>
      <c r="AN1283" t="n">
        <v>0</v>
      </c>
      <c r="AO1283" t="n">
        <v>1</v>
      </c>
      <c r="AP1283" t="n">
        <v>0</v>
      </c>
      <c r="AQ1283" t="n">
        <v>0</v>
      </c>
      <c r="AR1283" t="inlineStr">
        <is>
          <t>No</t>
        </is>
      </c>
      <c r="AS1283" t="inlineStr">
        <is>
          <t>Yes</t>
        </is>
      </c>
      <c r="AT1283">
        <f>HYPERLINK("http://catalog.hathitrust.org/Record/000726624","HathiTrust Record")</f>
        <v/>
      </c>
      <c r="AU1283">
        <f>HYPERLINK("https://creighton-primo.hosted.exlibrisgroup.com/primo-explore/search?tab=default_tab&amp;search_scope=EVERYTHING&amp;vid=01CRU&amp;lang=en_US&amp;offset=0&amp;query=any,contains,991003817989702656","Catalog Record")</f>
        <v/>
      </c>
      <c r="AV1283">
        <f>HYPERLINK("http://www.worldcat.org/oclc/2481758","WorldCat Record")</f>
        <v/>
      </c>
      <c r="AW1283" t="inlineStr">
        <is>
          <t>1440250:spa</t>
        </is>
      </c>
      <c r="AX1283" t="inlineStr">
        <is>
          <t>2481758</t>
        </is>
      </c>
      <c r="AY1283" t="inlineStr">
        <is>
          <t>991003817989702656</t>
        </is>
      </c>
      <c r="AZ1283" t="inlineStr">
        <is>
          <t>991003817989702656</t>
        </is>
      </c>
      <c r="BA1283" t="inlineStr">
        <is>
          <t>2263549660002656</t>
        </is>
      </c>
      <c r="BB1283" t="inlineStr">
        <is>
          <t>BOOK</t>
        </is>
      </c>
      <c r="BE1283" t="inlineStr">
        <is>
          <t>32285004494554</t>
        </is>
      </c>
      <c r="BF1283" t="inlineStr">
        <is>
          <t>893875229</t>
        </is>
      </c>
    </row>
    <row r="1284">
      <c r="A1284" t="inlineStr">
        <is>
          <t>No</t>
        </is>
      </c>
      <c r="B1284" t="inlineStr">
        <is>
          <t>CURAL</t>
        </is>
      </c>
      <c r="C1284" t="inlineStr">
        <is>
          <t>SHELVES</t>
        </is>
      </c>
      <c r="D1284" t="inlineStr">
        <is>
          <t>PQ8550.13.A37 B5 1978</t>
        </is>
      </c>
      <c r="E1284" t="inlineStr">
        <is>
          <t>0                      PQ 8550130A  37                 B  5           1978</t>
        </is>
      </c>
      <c r="F1284" t="inlineStr">
        <is>
          <t>Bicéfalo / Juan Calzadilla.</t>
        </is>
      </c>
      <c r="H1284" t="inlineStr">
        <is>
          <t>No</t>
        </is>
      </c>
      <c r="I1284" t="inlineStr">
        <is>
          <t>1</t>
        </is>
      </c>
      <c r="J1284" t="inlineStr">
        <is>
          <t>No</t>
        </is>
      </c>
      <c r="K1284" t="inlineStr">
        <is>
          <t>No</t>
        </is>
      </c>
      <c r="L1284" t="inlineStr">
        <is>
          <t>0</t>
        </is>
      </c>
      <c r="M1284" t="inlineStr">
        <is>
          <t>Calzadilla, Juan.</t>
        </is>
      </c>
      <c r="N1284" t="inlineStr">
        <is>
          <t>Caracas : Monte Avila Editores, [1978]</t>
        </is>
      </c>
      <c r="O1284" t="inlineStr">
        <is>
          <t>1978</t>
        </is>
      </c>
      <c r="Q1284" t="inlineStr">
        <is>
          <t>spa</t>
        </is>
      </c>
      <c r="R1284" t="inlineStr">
        <is>
          <t xml:space="preserve">ve </t>
        </is>
      </c>
      <c r="S1284" t="inlineStr">
        <is>
          <t>Colección Continentes</t>
        </is>
      </c>
      <c r="T1284" t="inlineStr">
        <is>
          <t xml:space="preserve">PQ </t>
        </is>
      </c>
      <c r="U1284" t="n">
        <v>1</v>
      </c>
      <c r="V1284" t="n">
        <v>1</v>
      </c>
      <c r="W1284" t="inlineStr">
        <is>
          <t>2002-07-02</t>
        </is>
      </c>
      <c r="X1284" t="inlineStr">
        <is>
          <t>2002-07-02</t>
        </is>
      </c>
      <c r="Y1284" t="inlineStr">
        <is>
          <t>2002-07-01</t>
        </is>
      </c>
      <c r="Z1284" t="inlineStr">
        <is>
          <t>2002-07-01</t>
        </is>
      </c>
      <c r="AA1284" t="n">
        <v>37</v>
      </c>
      <c r="AB1284" t="n">
        <v>29</v>
      </c>
      <c r="AC1284" t="n">
        <v>31</v>
      </c>
      <c r="AD1284" t="n">
        <v>1</v>
      </c>
      <c r="AE1284" t="n">
        <v>1</v>
      </c>
      <c r="AF1284" t="n">
        <v>2</v>
      </c>
      <c r="AG1284" t="n">
        <v>2</v>
      </c>
      <c r="AH1284" t="n">
        <v>1</v>
      </c>
      <c r="AI1284" t="n">
        <v>1</v>
      </c>
      <c r="AJ1284" t="n">
        <v>2</v>
      </c>
      <c r="AK1284" t="n">
        <v>2</v>
      </c>
      <c r="AL1284" t="n">
        <v>0</v>
      </c>
      <c r="AM1284" t="n">
        <v>0</v>
      </c>
      <c r="AN1284" t="n">
        <v>0</v>
      </c>
      <c r="AO1284" t="n">
        <v>0</v>
      </c>
      <c r="AP1284" t="n">
        <v>0</v>
      </c>
      <c r="AQ1284" t="n">
        <v>0</v>
      </c>
      <c r="AR1284" t="inlineStr">
        <is>
          <t>No</t>
        </is>
      </c>
      <c r="AS1284" t="inlineStr">
        <is>
          <t>Yes</t>
        </is>
      </c>
      <c r="AT1284">
        <f>HYPERLINK("http://catalog.hathitrust.org/Record/007863331","HathiTrust Record")</f>
        <v/>
      </c>
      <c r="AU1284">
        <f>HYPERLINK("https://creighton-primo.hosted.exlibrisgroup.com/primo-explore/search?tab=default_tab&amp;search_scope=EVERYTHING&amp;vid=01CRU&amp;lang=en_US&amp;offset=0&amp;query=any,contains,991003835009702656","Catalog Record")</f>
        <v/>
      </c>
      <c r="AV1284">
        <f>HYPERLINK("http://www.worldcat.org/oclc/4825982","WorldCat Record")</f>
        <v/>
      </c>
      <c r="AW1284" t="inlineStr">
        <is>
          <t>15039366:spa</t>
        </is>
      </c>
      <c r="AX1284" t="inlineStr">
        <is>
          <t>4825982</t>
        </is>
      </c>
      <c r="AY1284" t="inlineStr">
        <is>
          <t>991003835009702656</t>
        </is>
      </c>
      <c r="AZ1284" t="inlineStr">
        <is>
          <t>991003835009702656</t>
        </is>
      </c>
      <c r="BA1284" t="inlineStr">
        <is>
          <t>2258363090002656</t>
        </is>
      </c>
      <c r="BB1284" t="inlineStr">
        <is>
          <t>BOOK</t>
        </is>
      </c>
      <c r="BE1284" t="inlineStr">
        <is>
          <t>32285004496187</t>
        </is>
      </c>
      <c r="BF1284" t="inlineStr">
        <is>
          <t>893258930</t>
        </is>
      </c>
    </row>
    <row r="1285">
      <c r="A1285" t="inlineStr">
        <is>
          <t>No</t>
        </is>
      </c>
      <c r="B1285" t="inlineStr">
        <is>
          <t>CURAL</t>
        </is>
      </c>
      <c r="C1285" t="inlineStr">
        <is>
          <t>SHELVES</t>
        </is>
      </c>
      <c r="D1285" t="inlineStr">
        <is>
          <t>PQ8550.17.U26 E86 1969</t>
        </is>
      </c>
      <c r="E1285" t="inlineStr">
        <is>
          <t>0                      PQ 8550170U  26                 E  86          1969</t>
        </is>
      </c>
      <c r="F1285" t="inlineStr">
        <is>
          <t>El espejo negro : cuentos / Mary Guerrero.</t>
        </is>
      </c>
      <c r="H1285" t="inlineStr">
        <is>
          <t>No</t>
        </is>
      </c>
      <c r="I1285" t="inlineStr">
        <is>
          <t>1</t>
        </is>
      </c>
      <c r="J1285" t="inlineStr">
        <is>
          <t>No</t>
        </is>
      </c>
      <c r="K1285" t="inlineStr">
        <is>
          <t>No</t>
        </is>
      </c>
      <c r="L1285" t="inlineStr">
        <is>
          <t>0</t>
        </is>
      </c>
      <c r="M1285" t="inlineStr">
        <is>
          <t>Guerrero, Mary.</t>
        </is>
      </c>
      <c r="N1285" t="inlineStr">
        <is>
          <t>Caracas : Monte Avila, 1969.</t>
        </is>
      </c>
      <c r="O1285" t="inlineStr">
        <is>
          <t>1969</t>
        </is>
      </c>
      <c r="Q1285" t="inlineStr">
        <is>
          <t>spa</t>
        </is>
      </c>
      <c r="R1285" t="inlineStr">
        <is>
          <t xml:space="preserve">ve </t>
        </is>
      </c>
      <c r="S1285" t="inlineStr">
        <is>
          <t>Colección Donaire</t>
        </is>
      </c>
      <c r="T1285" t="inlineStr">
        <is>
          <t xml:space="preserve">PQ </t>
        </is>
      </c>
      <c r="U1285" t="n">
        <v>1</v>
      </c>
      <c r="V1285" t="n">
        <v>1</v>
      </c>
      <c r="W1285" t="inlineStr">
        <is>
          <t>2002-04-03</t>
        </is>
      </c>
      <c r="X1285" t="inlineStr">
        <is>
          <t>2002-04-03</t>
        </is>
      </c>
      <c r="Y1285" t="inlineStr">
        <is>
          <t>2002-03-07</t>
        </is>
      </c>
      <c r="Z1285" t="inlineStr">
        <is>
          <t>2002-03-07</t>
        </is>
      </c>
      <c r="AA1285" t="n">
        <v>38</v>
      </c>
      <c r="AB1285" t="n">
        <v>25</v>
      </c>
      <c r="AC1285" t="n">
        <v>28</v>
      </c>
      <c r="AD1285" t="n">
        <v>2</v>
      </c>
      <c r="AE1285" t="n">
        <v>2</v>
      </c>
      <c r="AF1285" t="n">
        <v>1</v>
      </c>
      <c r="AG1285" t="n">
        <v>1</v>
      </c>
      <c r="AH1285" t="n">
        <v>0</v>
      </c>
      <c r="AI1285" t="n">
        <v>0</v>
      </c>
      <c r="AJ1285" t="n">
        <v>0</v>
      </c>
      <c r="AK1285" t="n">
        <v>0</v>
      </c>
      <c r="AL1285" t="n">
        <v>0</v>
      </c>
      <c r="AM1285" t="n">
        <v>0</v>
      </c>
      <c r="AN1285" t="n">
        <v>1</v>
      </c>
      <c r="AO1285" t="n">
        <v>1</v>
      </c>
      <c r="AP1285" t="n">
        <v>0</v>
      </c>
      <c r="AQ1285" t="n">
        <v>0</v>
      </c>
      <c r="AR1285" t="inlineStr">
        <is>
          <t>No</t>
        </is>
      </c>
      <c r="AS1285" t="inlineStr">
        <is>
          <t>Yes</t>
        </is>
      </c>
      <c r="AT1285">
        <f>HYPERLINK("http://catalog.hathitrust.org/Record/101388790","HathiTrust Record")</f>
        <v/>
      </c>
      <c r="AU1285">
        <f>HYPERLINK("https://creighton-primo.hosted.exlibrisgroup.com/primo-explore/search?tab=default_tab&amp;search_scope=EVERYTHING&amp;vid=01CRU&amp;lang=en_US&amp;offset=0&amp;query=any,contains,991003759229702656","Catalog Record")</f>
        <v/>
      </c>
      <c r="AV1285">
        <f>HYPERLINK("http://www.worldcat.org/oclc/2079173","WorldCat Record")</f>
        <v/>
      </c>
      <c r="AW1285" t="inlineStr">
        <is>
          <t>365545348:spa</t>
        </is>
      </c>
      <c r="AX1285" t="inlineStr">
        <is>
          <t>2079173</t>
        </is>
      </c>
      <c r="AY1285" t="inlineStr">
        <is>
          <t>991003759229702656</t>
        </is>
      </c>
      <c r="AZ1285" t="inlineStr">
        <is>
          <t>991003759229702656</t>
        </is>
      </c>
      <c r="BA1285" t="inlineStr">
        <is>
          <t>2260106220002656</t>
        </is>
      </c>
      <c r="BB1285" t="inlineStr">
        <is>
          <t>BOOK</t>
        </is>
      </c>
      <c r="BE1285" t="inlineStr">
        <is>
          <t>32285004459904</t>
        </is>
      </c>
      <c r="BF1285" t="inlineStr">
        <is>
          <t>893598946</t>
        </is>
      </c>
    </row>
    <row r="1286">
      <c r="A1286" t="inlineStr">
        <is>
          <t>No</t>
        </is>
      </c>
      <c r="B1286" t="inlineStr">
        <is>
          <t>CURAL</t>
        </is>
      </c>
      <c r="C1286" t="inlineStr">
        <is>
          <t>SHELVES</t>
        </is>
      </c>
      <c r="D1286" t="inlineStr">
        <is>
          <t>PQ8550.22.E6 O8 1968</t>
        </is>
      </c>
      <c r="E1286" t="inlineStr">
        <is>
          <t>0                      PQ 8550220E  6                  O  8           1968</t>
        </is>
      </c>
      <c r="F1286" t="inlineStr">
        <is>
          <t>Otra memoria : relatos / Jesus Alberto Leon.</t>
        </is>
      </c>
      <c r="H1286" t="inlineStr">
        <is>
          <t>No</t>
        </is>
      </c>
      <c r="I1286" t="inlineStr">
        <is>
          <t>1</t>
        </is>
      </c>
      <c r="J1286" t="inlineStr">
        <is>
          <t>No</t>
        </is>
      </c>
      <c r="K1286" t="inlineStr">
        <is>
          <t>No</t>
        </is>
      </c>
      <c r="L1286" t="inlineStr">
        <is>
          <t>0</t>
        </is>
      </c>
      <c r="M1286" t="inlineStr">
        <is>
          <t>León, Jesús Alberto, 1940-</t>
        </is>
      </c>
      <c r="N1286" t="inlineStr">
        <is>
          <t>[Caracas] : Monte Avila Editores, [1968]</t>
        </is>
      </c>
      <c r="O1286" t="inlineStr">
        <is>
          <t>1968</t>
        </is>
      </c>
      <c r="Q1286" t="inlineStr">
        <is>
          <t>spa</t>
        </is>
      </c>
      <c r="R1286" t="inlineStr">
        <is>
          <t xml:space="preserve">ve </t>
        </is>
      </c>
      <c r="S1286" t="inlineStr">
        <is>
          <t>Colección Continente</t>
        </is>
      </c>
      <c r="T1286" t="inlineStr">
        <is>
          <t xml:space="preserve">PQ </t>
        </is>
      </c>
      <c r="U1286" t="n">
        <v>1</v>
      </c>
      <c r="V1286" t="n">
        <v>1</v>
      </c>
      <c r="W1286" t="inlineStr">
        <is>
          <t>2002-04-03</t>
        </is>
      </c>
      <c r="X1286" t="inlineStr">
        <is>
          <t>2002-04-03</t>
        </is>
      </c>
      <c r="Y1286" t="inlineStr">
        <is>
          <t>2002-03-07</t>
        </is>
      </c>
      <c r="Z1286" t="inlineStr">
        <is>
          <t>2002-03-07</t>
        </is>
      </c>
      <c r="AA1286" t="n">
        <v>66</v>
      </c>
      <c r="AB1286" t="n">
        <v>48</v>
      </c>
      <c r="AC1286" t="n">
        <v>51</v>
      </c>
      <c r="AD1286" t="n">
        <v>2</v>
      </c>
      <c r="AE1286" t="n">
        <v>2</v>
      </c>
      <c r="AF1286" t="n">
        <v>2</v>
      </c>
      <c r="AG1286" t="n">
        <v>2</v>
      </c>
      <c r="AH1286" t="n">
        <v>0</v>
      </c>
      <c r="AI1286" t="n">
        <v>0</v>
      </c>
      <c r="AJ1286" t="n">
        <v>1</v>
      </c>
      <c r="AK1286" t="n">
        <v>1</v>
      </c>
      <c r="AL1286" t="n">
        <v>0</v>
      </c>
      <c r="AM1286" t="n">
        <v>0</v>
      </c>
      <c r="AN1286" t="n">
        <v>1</v>
      </c>
      <c r="AO1286" t="n">
        <v>1</v>
      </c>
      <c r="AP1286" t="n">
        <v>0</v>
      </c>
      <c r="AQ1286" t="n">
        <v>0</v>
      </c>
      <c r="AR1286" t="inlineStr">
        <is>
          <t>No</t>
        </is>
      </c>
      <c r="AS1286" t="inlineStr">
        <is>
          <t>Yes</t>
        </is>
      </c>
      <c r="AT1286">
        <f>HYPERLINK("http://catalog.hathitrust.org/Record/101388920","HathiTrust Record")</f>
        <v/>
      </c>
      <c r="AU1286">
        <f>HYPERLINK("https://creighton-primo.hosted.exlibrisgroup.com/primo-explore/search?tab=default_tab&amp;search_scope=EVERYTHING&amp;vid=01CRU&amp;lang=en_US&amp;offset=0&amp;query=any,contains,991003759249702656","Catalog Record")</f>
        <v/>
      </c>
      <c r="AV1286">
        <f>HYPERLINK("http://www.worldcat.org/oclc/1049466","WorldCat Record")</f>
        <v/>
      </c>
      <c r="AW1286" t="inlineStr">
        <is>
          <t>147840943:spa</t>
        </is>
      </c>
      <c r="AX1286" t="inlineStr">
        <is>
          <t>1049466</t>
        </is>
      </c>
      <c r="AY1286" t="inlineStr">
        <is>
          <t>991003759249702656</t>
        </is>
      </c>
      <c r="AZ1286" t="inlineStr">
        <is>
          <t>991003759249702656</t>
        </is>
      </c>
      <c r="BA1286" t="inlineStr">
        <is>
          <t>2268043130002656</t>
        </is>
      </c>
      <c r="BB1286" t="inlineStr">
        <is>
          <t>BOOK</t>
        </is>
      </c>
      <c r="BE1286" t="inlineStr">
        <is>
          <t>32285004460134</t>
        </is>
      </c>
      <c r="BF1286" t="inlineStr">
        <is>
          <t>893794001</t>
        </is>
      </c>
    </row>
    <row r="1287">
      <c r="A1287" t="inlineStr">
        <is>
          <t>No</t>
        </is>
      </c>
      <c r="B1287" t="inlineStr">
        <is>
          <t>CURAL</t>
        </is>
      </c>
      <c r="C1287" t="inlineStr">
        <is>
          <t>SHELVES</t>
        </is>
      </c>
      <c r="D1287" t="inlineStr">
        <is>
          <t>PQ8550.22.I3 S5 1989</t>
        </is>
      </c>
      <c r="E1287" t="inlineStr">
        <is>
          <t>0                      PQ 8550220I  3                  S  5           1989</t>
        </is>
      </c>
      <c r="F1287" t="inlineStr">
        <is>
          <t>Si yo fuera Pedro Infante / Eduardo Liendo.</t>
        </is>
      </c>
      <c r="H1287" t="inlineStr">
        <is>
          <t>No</t>
        </is>
      </c>
      <c r="I1287" t="inlineStr">
        <is>
          <t>1</t>
        </is>
      </c>
      <c r="J1287" t="inlineStr">
        <is>
          <t>No</t>
        </is>
      </c>
      <c r="K1287" t="inlineStr">
        <is>
          <t>No</t>
        </is>
      </c>
      <c r="L1287" t="inlineStr">
        <is>
          <t>0</t>
        </is>
      </c>
      <c r="M1287" t="inlineStr">
        <is>
          <t>Liendo, Eduardo.</t>
        </is>
      </c>
      <c r="N1287" t="inlineStr">
        <is>
          <t>Caracas, Venezuela : Alfadil Ediciones, 1989.</t>
        </is>
      </c>
      <c r="O1287" t="inlineStr">
        <is>
          <t>1989</t>
        </is>
      </c>
      <c r="Q1287" t="inlineStr">
        <is>
          <t>spa</t>
        </is>
      </c>
      <c r="R1287" t="inlineStr">
        <is>
          <t xml:space="preserve">ve </t>
        </is>
      </c>
      <c r="S1287" t="inlineStr">
        <is>
          <t>Colección Orinoco ; 23</t>
        </is>
      </c>
      <c r="T1287" t="inlineStr">
        <is>
          <t xml:space="preserve">PQ </t>
        </is>
      </c>
      <c r="U1287" t="n">
        <v>1</v>
      </c>
      <c r="V1287" t="n">
        <v>1</v>
      </c>
      <c r="W1287" t="inlineStr">
        <is>
          <t>2004-08-03</t>
        </is>
      </c>
      <c r="X1287" t="inlineStr">
        <is>
          <t>2004-08-03</t>
        </is>
      </c>
      <c r="Y1287" t="inlineStr">
        <is>
          <t>2004-08-03</t>
        </is>
      </c>
      <c r="Z1287" t="inlineStr">
        <is>
          <t>2004-08-03</t>
        </is>
      </c>
      <c r="AA1287" t="n">
        <v>41</v>
      </c>
      <c r="AB1287" t="n">
        <v>38</v>
      </c>
      <c r="AC1287" t="n">
        <v>38</v>
      </c>
      <c r="AD1287" t="n">
        <v>1</v>
      </c>
      <c r="AE1287" t="n">
        <v>1</v>
      </c>
      <c r="AF1287" t="n">
        <v>0</v>
      </c>
      <c r="AG1287" t="n">
        <v>0</v>
      </c>
      <c r="AH1287" t="n">
        <v>0</v>
      </c>
      <c r="AI1287" t="n">
        <v>0</v>
      </c>
      <c r="AJ1287" t="n">
        <v>0</v>
      </c>
      <c r="AK1287" t="n">
        <v>0</v>
      </c>
      <c r="AL1287" t="n">
        <v>0</v>
      </c>
      <c r="AM1287" t="n">
        <v>0</v>
      </c>
      <c r="AN1287" t="n">
        <v>0</v>
      </c>
      <c r="AO1287" t="n">
        <v>0</v>
      </c>
      <c r="AP1287" t="n">
        <v>0</v>
      </c>
      <c r="AQ1287" t="n">
        <v>0</v>
      </c>
      <c r="AR1287" t="inlineStr">
        <is>
          <t>No</t>
        </is>
      </c>
      <c r="AS1287" t="inlineStr">
        <is>
          <t>No</t>
        </is>
      </c>
      <c r="AU1287">
        <f>HYPERLINK("https://creighton-primo.hosted.exlibrisgroup.com/primo-explore/search?tab=default_tab&amp;search_scope=EVERYTHING&amp;vid=01CRU&amp;lang=en_US&amp;offset=0&amp;query=any,contains,991004334439702656","Catalog Record")</f>
        <v/>
      </c>
      <c r="AV1287">
        <f>HYPERLINK("http://www.worldcat.org/oclc/22533975","WorldCat Record")</f>
        <v/>
      </c>
      <c r="AW1287" t="inlineStr">
        <is>
          <t>24438104:spa</t>
        </is>
      </c>
      <c r="AX1287" t="inlineStr">
        <is>
          <t>22533975</t>
        </is>
      </c>
      <c r="AY1287" t="inlineStr">
        <is>
          <t>991004334439702656</t>
        </is>
      </c>
      <c r="AZ1287" t="inlineStr">
        <is>
          <t>991004334439702656</t>
        </is>
      </c>
      <c r="BA1287" t="inlineStr">
        <is>
          <t>2263445510002656</t>
        </is>
      </c>
      <c r="BB1287" t="inlineStr">
        <is>
          <t>BOOK</t>
        </is>
      </c>
      <c r="BD1287" t="inlineStr">
        <is>
          <t>9789806005716</t>
        </is>
      </c>
      <c r="BE1287" t="inlineStr">
        <is>
          <t>32285004927488</t>
        </is>
      </c>
      <c r="BF1287" t="inlineStr">
        <is>
          <t>893593557</t>
        </is>
      </c>
    </row>
    <row r="1288">
      <c r="A1288" t="inlineStr">
        <is>
          <t>No</t>
        </is>
      </c>
      <c r="B1288" t="inlineStr">
        <is>
          <t>CURAL</t>
        </is>
      </c>
      <c r="C1288" t="inlineStr">
        <is>
          <t>SHELVES</t>
        </is>
      </c>
      <c r="D1288" t="inlineStr">
        <is>
          <t>PQ8550.23.A8 L55 1975</t>
        </is>
      </c>
      <c r="E1288" t="inlineStr">
        <is>
          <t>0                      PQ 8550230A  8                  L  55          1975</t>
        </is>
      </c>
      <c r="F1288" t="inlineStr">
        <is>
          <t>El Llanero Solitario tiene la cabeza pelada como un cepillo de dientes : relatos / Francisco Massiani.</t>
        </is>
      </c>
      <c r="H1288" t="inlineStr">
        <is>
          <t>No</t>
        </is>
      </c>
      <c r="I1288" t="inlineStr">
        <is>
          <t>1</t>
        </is>
      </c>
      <c r="J1288" t="inlineStr">
        <is>
          <t>No</t>
        </is>
      </c>
      <c r="K1288" t="inlineStr">
        <is>
          <t>No</t>
        </is>
      </c>
      <c r="L1288" t="inlineStr">
        <is>
          <t>0</t>
        </is>
      </c>
      <c r="M1288" t="inlineStr">
        <is>
          <t>Massiani, Francisco, 1944-</t>
        </is>
      </c>
      <c r="N1288" t="inlineStr">
        <is>
          <t>Caracas : Monte Avila Editores, c1975.</t>
        </is>
      </c>
      <c r="O1288" t="inlineStr">
        <is>
          <t>1975</t>
        </is>
      </c>
      <c r="Q1288" t="inlineStr">
        <is>
          <t>spa</t>
        </is>
      </c>
      <c r="R1288" t="inlineStr">
        <is>
          <t xml:space="preserve">ve </t>
        </is>
      </c>
      <c r="S1288" t="inlineStr">
        <is>
          <t>Colección Donaire</t>
        </is>
      </c>
      <c r="T1288" t="inlineStr">
        <is>
          <t xml:space="preserve">PQ </t>
        </is>
      </c>
      <c r="U1288" t="n">
        <v>1</v>
      </c>
      <c r="V1288" t="n">
        <v>1</v>
      </c>
      <c r="W1288" t="inlineStr">
        <is>
          <t>2002-07-29</t>
        </is>
      </c>
      <c r="X1288" t="inlineStr">
        <is>
          <t>2002-07-29</t>
        </is>
      </c>
      <c r="Y1288" t="inlineStr">
        <is>
          <t>2002-07-29</t>
        </is>
      </c>
      <c r="Z1288" t="inlineStr">
        <is>
          <t>2002-07-29</t>
        </is>
      </c>
      <c r="AA1288" t="n">
        <v>31</v>
      </c>
      <c r="AB1288" t="n">
        <v>24</v>
      </c>
      <c r="AC1288" t="n">
        <v>32</v>
      </c>
      <c r="AD1288" t="n">
        <v>2</v>
      </c>
      <c r="AE1288" t="n">
        <v>2</v>
      </c>
      <c r="AF1288" t="n">
        <v>1</v>
      </c>
      <c r="AG1288" t="n">
        <v>1</v>
      </c>
      <c r="AH1288" t="n">
        <v>0</v>
      </c>
      <c r="AI1288" t="n">
        <v>0</v>
      </c>
      <c r="AJ1288" t="n">
        <v>0</v>
      </c>
      <c r="AK1288" t="n">
        <v>0</v>
      </c>
      <c r="AL1288" t="n">
        <v>0</v>
      </c>
      <c r="AM1288" t="n">
        <v>0</v>
      </c>
      <c r="AN1288" t="n">
        <v>1</v>
      </c>
      <c r="AO1288" t="n">
        <v>1</v>
      </c>
      <c r="AP1288" t="n">
        <v>0</v>
      </c>
      <c r="AQ1288" t="n">
        <v>0</v>
      </c>
      <c r="AR1288" t="inlineStr">
        <is>
          <t>No</t>
        </is>
      </c>
      <c r="AS1288" t="inlineStr">
        <is>
          <t>Yes</t>
        </is>
      </c>
      <c r="AT1288">
        <f>HYPERLINK("http://catalog.hathitrust.org/Record/101162467","HathiTrust Record")</f>
        <v/>
      </c>
      <c r="AU1288">
        <f>HYPERLINK("https://creighton-primo.hosted.exlibrisgroup.com/primo-explore/search?tab=default_tab&amp;search_scope=EVERYTHING&amp;vid=01CRU&amp;lang=en_US&amp;offset=0&amp;query=any,contains,991003846739702656","Catalog Record")</f>
        <v/>
      </c>
      <c r="AV1288">
        <f>HYPERLINK("http://www.worldcat.org/oclc/2418346","WorldCat Record")</f>
        <v/>
      </c>
      <c r="AW1288" t="inlineStr">
        <is>
          <t>423755343:spa</t>
        </is>
      </c>
      <c r="AX1288" t="inlineStr">
        <is>
          <t>2418346</t>
        </is>
      </c>
      <c r="AY1288" t="inlineStr">
        <is>
          <t>991003846739702656</t>
        </is>
      </c>
      <c r="AZ1288" t="inlineStr">
        <is>
          <t>991003846739702656</t>
        </is>
      </c>
      <c r="BA1288" t="inlineStr">
        <is>
          <t>2268966880002656</t>
        </is>
      </c>
      <c r="BB1288" t="inlineStr">
        <is>
          <t>BOOK</t>
        </is>
      </c>
      <c r="BE1288" t="inlineStr">
        <is>
          <t>32285004499975</t>
        </is>
      </c>
      <c r="BF1288" t="inlineStr">
        <is>
          <t>893693209</t>
        </is>
      </c>
    </row>
    <row r="1289">
      <c r="A1289" t="inlineStr">
        <is>
          <t>No</t>
        </is>
      </c>
      <c r="B1289" t="inlineStr">
        <is>
          <t>CURAL</t>
        </is>
      </c>
      <c r="C1289" t="inlineStr">
        <is>
          <t>SHELVES</t>
        </is>
      </c>
      <c r="D1289" t="inlineStr">
        <is>
          <t>PQ8550.23.O7 A6 1995</t>
        </is>
      </c>
      <c r="E1289" t="inlineStr">
        <is>
          <t>0                      PQ 8550230O  7                  A  6           1995</t>
        </is>
      </c>
      <c r="F1289" t="inlineStr">
        <is>
          <t>Obra escogida / Guillermo Morón ; selección y prólogo, José Ramón Medina ; cronología y bibliografía, Roberto J. Lovera De-Sola.</t>
        </is>
      </c>
      <c r="H1289" t="inlineStr">
        <is>
          <t>No</t>
        </is>
      </c>
      <c r="I1289" t="inlineStr">
        <is>
          <t>1</t>
        </is>
      </c>
      <c r="J1289" t="inlineStr">
        <is>
          <t>No</t>
        </is>
      </c>
      <c r="K1289" t="inlineStr">
        <is>
          <t>No</t>
        </is>
      </c>
      <c r="L1289" t="inlineStr">
        <is>
          <t>0</t>
        </is>
      </c>
      <c r="M1289" t="inlineStr">
        <is>
          <t>Morón, Guillermo.</t>
        </is>
      </c>
      <c r="N1289" t="inlineStr">
        <is>
          <t>Caracas : Biblioteca Ayacucho, 1995.</t>
        </is>
      </c>
      <c r="O1289" t="inlineStr">
        <is>
          <t>1995</t>
        </is>
      </c>
      <c r="Q1289" t="inlineStr">
        <is>
          <t>spa</t>
        </is>
      </c>
      <c r="R1289" t="inlineStr">
        <is>
          <t xml:space="preserve">ve </t>
        </is>
      </c>
      <c r="S1289" t="inlineStr">
        <is>
          <t>Biblioteca Ayacucho ; 211</t>
        </is>
      </c>
      <c r="T1289" t="inlineStr">
        <is>
          <t xml:space="preserve">PQ </t>
        </is>
      </c>
      <c r="U1289" t="n">
        <v>1</v>
      </c>
      <c r="V1289" t="n">
        <v>1</v>
      </c>
      <c r="W1289" t="inlineStr">
        <is>
          <t>2001-11-19</t>
        </is>
      </c>
      <c r="X1289" t="inlineStr">
        <is>
          <t>2001-11-19</t>
        </is>
      </c>
      <c r="Y1289" t="inlineStr">
        <is>
          <t>2001-11-19</t>
        </is>
      </c>
      <c r="Z1289" t="inlineStr">
        <is>
          <t>2001-11-19</t>
        </is>
      </c>
      <c r="AA1289" t="n">
        <v>61</v>
      </c>
      <c r="AB1289" t="n">
        <v>53</v>
      </c>
      <c r="AC1289" t="n">
        <v>55</v>
      </c>
      <c r="AD1289" t="n">
        <v>1</v>
      </c>
      <c r="AE1289" t="n">
        <v>1</v>
      </c>
      <c r="AF1289" t="n">
        <v>3</v>
      </c>
      <c r="AG1289" t="n">
        <v>3</v>
      </c>
      <c r="AH1289" t="n">
        <v>0</v>
      </c>
      <c r="AI1289" t="n">
        <v>0</v>
      </c>
      <c r="AJ1289" t="n">
        <v>3</v>
      </c>
      <c r="AK1289" t="n">
        <v>3</v>
      </c>
      <c r="AL1289" t="n">
        <v>1</v>
      </c>
      <c r="AM1289" t="n">
        <v>1</v>
      </c>
      <c r="AN1289" t="n">
        <v>0</v>
      </c>
      <c r="AO1289" t="n">
        <v>0</v>
      </c>
      <c r="AP1289" t="n">
        <v>0</v>
      </c>
      <c r="AQ1289" t="n">
        <v>0</v>
      </c>
      <c r="AR1289" t="inlineStr">
        <is>
          <t>No</t>
        </is>
      </c>
      <c r="AS1289" t="inlineStr">
        <is>
          <t>Yes</t>
        </is>
      </c>
      <c r="AT1289">
        <f>HYPERLINK("http://catalog.hathitrust.org/Record/101165586","HathiTrust Record")</f>
        <v/>
      </c>
      <c r="AU1289">
        <f>HYPERLINK("https://creighton-primo.hosted.exlibrisgroup.com/primo-explore/search?tab=default_tab&amp;search_scope=EVERYTHING&amp;vid=01CRU&amp;lang=en_US&amp;offset=0&amp;query=any,contains,991003681449702656","Catalog Record")</f>
        <v/>
      </c>
      <c r="AV1289">
        <f>HYPERLINK("http://www.worldcat.org/oclc/35226099","WorldCat Record")</f>
        <v/>
      </c>
      <c r="AW1289" t="inlineStr">
        <is>
          <t>5218502385:spa</t>
        </is>
      </c>
      <c r="AX1289" t="inlineStr">
        <is>
          <t>35226099</t>
        </is>
      </c>
      <c r="AY1289" t="inlineStr">
        <is>
          <t>991003681449702656</t>
        </is>
      </c>
      <c r="AZ1289" t="inlineStr">
        <is>
          <t>991003681449702656</t>
        </is>
      </c>
      <c r="BA1289" t="inlineStr">
        <is>
          <t>2256148950002656</t>
        </is>
      </c>
      <c r="BB1289" t="inlineStr">
        <is>
          <t>BOOK</t>
        </is>
      </c>
      <c r="BD1289" t="inlineStr">
        <is>
          <t>9789802763139</t>
        </is>
      </c>
      <c r="BE1289" t="inlineStr">
        <is>
          <t>32285004412291</t>
        </is>
      </c>
      <c r="BF1289" t="inlineStr">
        <is>
          <t>893699282</t>
        </is>
      </c>
    </row>
    <row r="1290">
      <c r="A1290" t="inlineStr">
        <is>
          <t>No</t>
        </is>
      </c>
      <c r="B1290" t="inlineStr">
        <is>
          <t>CURAL</t>
        </is>
      </c>
      <c r="C1290" t="inlineStr">
        <is>
          <t>SHELVES</t>
        </is>
      </c>
      <c r="D1290" t="inlineStr">
        <is>
          <t>PQ8550.24.O52 H57 1971</t>
        </is>
      </c>
      <c r="E1290" t="inlineStr">
        <is>
          <t>0                      PQ 8550240O  52                 H  57          1971</t>
        </is>
      </c>
      <c r="F1290" t="inlineStr">
        <is>
          <t>Historias de la calle Lincoln / Carlos Noguera.</t>
        </is>
      </c>
      <c r="H1290" t="inlineStr">
        <is>
          <t>No</t>
        </is>
      </c>
      <c r="I1290" t="inlineStr">
        <is>
          <t>1</t>
        </is>
      </c>
      <c r="J1290" t="inlineStr">
        <is>
          <t>No</t>
        </is>
      </c>
      <c r="K1290" t="inlineStr">
        <is>
          <t>No</t>
        </is>
      </c>
      <c r="L1290" t="inlineStr">
        <is>
          <t>0</t>
        </is>
      </c>
      <c r="M1290" t="inlineStr">
        <is>
          <t>Noguera, Carlos.</t>
        </is>
      </c>
      <c r="N1290" t="inlineStr">
        <is>
          <t>[Caracas, Venezuela] : Monte Avila Editores, 1971.</t>
        </is>
      </c>
      <c r="O1290" t="inlineStr">
        <is>
          <t>1971</t>
        </is>
      </c>
      <c r="Q1290" t="inlineStr">
        <is>
          <t>spa</t>
        </is>
      </c>
      <c r="R1290" t="inlineStr">
        <is>
          <t xml:space="preserve">ve </t>
        </is>
      </c>
      <c r="S1290" t="inlineStr">
        <is>
          <t>Colección Continente</t>
        </is>
      </c>
      <c r="T1290" t="inlineStr">
        <is>
          <t xml:space="preserve">PQ </t>
        </is>
      </c>
      <c r="U1290" t="n">
        <v>1</v>
      </c>
      <c r="V1290" t="n">
        <v>1</v>
      </c>
      <c r="W1290" t="inlineStr">
        <is>
          <t>2002-07-29</t>
        </is>
      </c>
      <c r="X1290" t="inlineStr">
        <is>
          <t>2002-07-29</t>
        </is>
      </c>
      <c r="Y1290" t="inlineStr">
        <is>
          <t>2002-07-29</t>
        </is>
      </c>
      <c r="Z1290" t="inlineStr">
        <is>
          <t>2002-07-29</t>
        </is>
      </c>
      <c r="AA1290" t="n">
        <v>45</v>
      </c>
      <c r="AB1290" t="n">
        <v>33</v>
      </c>
      <c r="AC1290" t="n">
        <v>51</v>
      </c>
      <c r="AD1290" t="n">
        <v>1</v>
      </c>
      <c r="AE1290" t="n">
        <v>1</v>
      </c>
      <c r="AF1290" t="n">
        <v>0</v>
      </c>
      <c r="AG1290" t="n">
        <v>2</v>
      </c>
      <c r="AH1290" t="n">
        <v>0</v>
      </c>
      <c r="AI1290" t="n">
        <v>0</v>
      </c>
      <c r="AJ1290" t="n">
        <v>0</v>
      </c>
      <c r="AK1290" t="n">
        <v>1</v>
      </c>
      <c r="AL1290" t="n">
        <v>0</v>
      </c>
      <c r="AM1290" t="n">
        <v>1</v>
      </c>
      <c r="AN1290" t="n">
        <v>0</v>
      </c>
      <c r="AO1290" t="n">
        <v>0</v>
      </c>
      <c r="AP1290" t="n">
        <v>0</v>
      </c>
      <c r="AQ1290" t="n">
        <v>0</v>
      </c>
      <c r="AR1290" t="inlineStr">
        <is>
          <t>No</t>
        </is>
      </c>
      <c r="AS1290" t="inlineStr">
        <is>
          <t>Yes</t>
        </is>
      </c>
      <c r="AT1290">
        <f>HYPERLINK("http://catalog.hathitrust.org/Record/101165619","HathiTrust Record")</f>
        <v/>
      </c>
      <c r="AU1290">
        <f>HYPERLINK("https://creighton-primo.hosted.exlibrisgroup.com/primo-explore/search?tab=default_tab&amp;search_scope=EVERYTHING&amp;vid=01CRU&amp;lang=en_US&amp;offset=0&amp;query=any,contains,991003846679702656","Catalog Record")</f>
        <v/>
      </c>
      <c r="AV1290">
        <f>HYPERLINK("http://www.worldcat.org/oclc/939490","WorldCat Record")</f>
        <v/>
      </c>
      <c r="AW1290" t="inlineStr">
        <is>
          <t>1897511:spa</t>
        </is>
      </c>
      <c r="AX1290" t="inlineStr">
        <is>
          <t>939490</t>
        </is>
      </c>
      <c r="AY1290" t="inlineStr">
        <is>
          <t>991003846679702656</t>
        </is>
      </c>
      <c r="AZ1290" t="inlineStr">
        <is>
          <t>991003846679702656</t>
        </is>
      </c>
      <c r="BA1290" t="inlineStr">
        <is>
          <t>2264916860002656</t>
        </is>
      </c>
      <c r="BB1290" t="inlineStr">
        <is>
          <t>BOOK</t>
        </is>
      </c>
      <c r="BE1290" t="inlineStr">
        <is>
          <t>32285004499959</t>
        </is>
      </c>
      <c r="BF1290" t="inlineStr">
        <is>
          <t>893506057</t>
        </is>
      </c>
    </row>
    <row r="1291">
      <c r="A1291" t="inlineStr">
        <is>
          <t>No</t>
        </is>
      </c>
      <c r="B1291" t="inlineStr">
        <is>
          <t>CURAL</t>
        </is>
      </c>
      <c r="C1291" t="inlineStr">
        <is>
          <t>SHELVES</t>
        </is>
      </c>
      <c r="D1291" t="inlineStr">
        <is>
          <t>PQ8550.24.O52 I5 1979</t>
        </is>
      </c>
      <c r="E1291" t="inlineStr">
        <is>
          <t>0                      PQ 8550240O  52                 I  5           1979</t>
        </is>
      </c>
      <c r="F1291" t="inlineStr">
        <is>
          <t>Inventando los días : novela / Carlos Noguera ; [portada, Juan Fresán].</t>
        </is>
      </c>
      <c r="H1291" t="inlineStr">
        <is>
          <t>No</t>
        </is>
      </c>
      <c r="I1291" t="inlineStr">
        <is>
          <t>1</t>
        </is>
      </c>
      <c r="J1291" t="inlineStr">
        <is>
          <t>No</t>
        </is>
      </c>
      <c r="K1291" t="inlineStr">
        <is>
          <t>No</t>
        </is>
      </c>
      <c r="L1291" t="inlineStr">
        <is>
          <t>0</t>
        </is>
      </c>
      <c r="M1291" t="inlineStr">
        <is>
          <t>Noguera, Carlos.</t>
        </is>
      </c>
      <c r="N1291" t="inlineStr">
        <is>
          <t>Caracas, Venezuela : Monte Avila Editores, [1979]</t>
        </is>
      </c>
      <c r="O1291" t="inlineStr">
        <is>
          <t>1979</t>
        </is>
      </c>
      <c r="Q1291" t="inlineStr">
        <is>
          <t>spa</t>
        </is>
      </c>
      <c r="R1291" t="inlineStr">
        <is>
          <t xml:space="preserve">ve </t>
        </is>
      </c>
      <c r="S1291" t="inlineStr">
        <is>
          <t>Colección Continentes</t>
        </is>
      </c>
      <c r="T1291" t="inlineStr">
        <is>
          <t xml:space="preserve">PQ </t>
        </is>
      </c>
      <c r="U1291" t="n">
        <v>1</v>
      </c>
      <c r="V1291" t="n">
        <v>1</v>
      </c>
      <c r="W1291" t="inlineStr">
        <is>
          <t>2002-04-03</t>
        </is>
      </c>
      <c r="X1291" t="inlineStr">
        <is>
          <t>2002-04-03</t>
        </is>
      </c>
      <c r="Y1291" t="inlineStr">
        <is>
          <t>2002-03-13</t>
        </is>
      </c>
      <c r="Z1291" t="inlineStr">
        <is>
          <t>2002-03-13</t>
        </is>
      </c>
      <c r="AA1291" t="n">
        <v>41</v>
      </c>
      <c r="AB1291" t="n">
        <v>30</v>
      </c>
      <c r="AC1291" t="n">
        <v>31</v>
      </c>
      <c r="AD1291" t="n">
        <v>1</v>
      </c>
      <c r="AE1291" t="n">
        <v>1</v>
      </c>
      <c r="AF1291" t="n">
        <v>2</v>
      </c>
      <c r="AG1291" t="n">
        <v>2</v>
      </c>
      <c r="AH1291" t="n">
        <v>1</v>
      </c>
      <c r="AI1291" t="n">
        <v>1</v>
      </c>
      <c r="AJ1291" t="n">
        <v>1</v>
      </c>
      <c r="AK1291" t="n">
        <v>1</v>
      </c>
      <c r="AL1291" t="n">
        <v>0</v>
      </c>
      <c r="AM1291" t="n">
        <v>0</v>
      </c>
      <c r="AN1291" t="n">
        <v>0</v>
      </c>
      <c r="AO1291" t="n">
        <v>0</v>
      </c>
      <c r="AP1291" t="n">
        <v>0</v>
      </c>
      <c r="AQ1291" t="n">
        <v>0</v>
      </c>
      <c r="AR1291" t="inlineStr">
        <is>
          <t>No</t>
        </is>
      </c>
      <c r="AS1291" t="inlineStr">
        <is>
          <t>Yes</t>
        </is>
      </c>
      <c r="AT1291">
        <f>HYPERLINK("http://catalog.hathitrust.org/Record/101165620","HathiTrust Record")</f>
        <v/>
      </c>
      <c r="AU1291">
        <f>HYPERLINK("https://creighton-primo.hosted.exlibrisgroup.com/primo-explore/search?tab=default_tab&amp;search_scope=EVERYTHING&amp;vid=01CRU&amp;lang=en_US&amp;offset=0&amp;query=any,contains,991003762399702656","Catalog Record")</f>
        <v/>
      </c>
      <c r="AV1291">
        <f>HYPERLINK("http://www.worldcat.org/oclc/6393058","WorldCat Record")</f>
        <v/>
      </c>
      <c r="AW1291" t="inlineStr">
        <is>
          <t>917118521:spa</t>
        </is>
      </c>
      <c r="AX1291" t="inlineStr">
        <is>
          <t>6393058</t>
        </is>
      </c>
      <c r="AY1291" t="inlineStr">
        <is>
          <t>991003762399702656</t>
        </is>
      </c>
      <c r="AZ1291" t="inlineStr">
        <is>
          <t>991003762399702656</t>
        </is>
      </c>
      <c r="BA1291" t="inlineStr">
        <is>
          <t>2260086150002656</t>
        </is>
      </c>
      <c r="BB1291" t="inlineStr">
        <is>
          <t>BOOK</t>
        </is>
      </c>
      <c r="BE1291" t="inlineStr">
        <is>
          <t>32285004460639</t>
        </is>
      </c>
      <c r="BF1291" t="inlineStr">
        <is>
          <t>893499667</t>
        </is>
      </c>
    </row>
    <row r="1292">
      <c r="A1292" t="inlineStr">
        <is>
          <t>No</t>
        </is>
      </c>
      <c r="B1292" t="inlineStr">
        <is>
          <t>CURAL</t>
        </is>
      </c>
      <c r="C1292" t="inlineStr">
        <is>
          <t>SHELVES</t>
        </is>
      </c>
      <c r="D1292" t="inlineStr">
        <is>
          <t>PQ8550.26.A48 A64 1969</t>
        </is>
      </c>
      <c r="E1292" t="inlineStr">
        <is>
          <t>0                      PQ 8550260A  48                 A  64          1969</t>
        </is>
      </c>
      <c r="F1292" t="inlineStr">
        <is>
          <t>Ana Isabel : una niña decente : novela / Antonia Palacios.</t>
        </is>
      </c>
      <c r="H1292" t="inlineStr">
        <is>
          <t>No</t>
        </is>
      </c>
      <c r="I1292" t="inlineStr">
        <is>
          <t>1</t>
        </is>
      </c>
      <c r="J1292" t="inlineStr">
        <is>
          <t>No</t>
        </is>
      </c>
      <c r="K1292" t="inlineStr">
        <is>
          <t>No</t>
        </is>
      </c>
      <c r="L1292" t="inlineStr">
        <is>
          <t>0</t>
        </is>
      </c>
      <c r="M1292" t="inlineStr">
        <is>
          <t>Palacios, Antonia.</t>
        </is>
      </c>
      <c r="N1292" t="inlineStr">
        <is>
          <t>Caracas : Monte Avila, 1969.</t>
        </is>
      </c>
      <c r="O1292" t="inlineStr">
        <is>
          <t>1969</t>
        </is>
      </c>
      <c r="Q1292" t="inlineStr">
        <is>
          <t>spa</t>
        </is>
      </c>
      <c r="R1292" t="inlineStr">
        <is>
          <t xml:space="preserve">ve </t>
        </is>
      </c>
      <c r="S1292" t="inlineStr">
        <is>
          <t>Colección Prisma</t>
        </is>
      </c>
      <c r="T1292" t="inlineStr">
        <is>
          <t xml:space="preserve">PQ </t>
        </is>
      </c>
      <c r="U1292" t="n">
        <v>1</v>
      </c>
      <c r="V1292" t="n">
        <v>1</v>
      </c>
      <c r="W1292" t="inlineStr">
        <is>
          <t>2002-04-03</t>
        </is>
      </c>
      <c r="X1292" t="inlineStr">
        <is>
          <t>2002-04-03</t>
        </is>
      </c>
      <c r="Y1292" t="inlineStr">
        <is>
          <t>2002-03-13</t>
        </is>
      </c>
      <c r="Z1292" t="inlineStr">
        <is>
          <t>2002-03-13</t>
        </is>
      </c>
      <c r="AA1292" t="n">
        <v>29</v>
      </c>
      <c r="AB1292" t="n">
        <v>21</v>
      </c>
      <c r="AC1292" t="n">
        <v>67</v>
      </c>
      <c r="AD1292" t="n">
        <v>1</v>
      </c>
      <c r="AE1292" t="n">
        <v>1</v>
      </c>
      <c r="AF1292" t="n">
        <v>0</v>
      </c>
      <c r="AG1292" t="n">
        <v>2</v>
      </c>
      <c r="AH1292" t="n">
        <v>0</v>
      </c>
      <c r="AI1292" t="n">
        <v>0</v>
      </c>
      <c r="AJ1292" t="n">
        <v>0</v>
      </c>
      <c r="AK1292" t="n">
        <v>2</v>
      </c>
      <c r="AL1292" t="n">
        <v>0</v>
      </c>
      <c r="AM1292" t="n">
        <v>1</v>
      </c>
      <c r="AN1292" t="n">
        <v>0</v>
      </c>
      <c r="AO1292" t="n">
        <v>0</v>
      </c>
      <c r="AP1292" t="n">
        <v>0</v>
      </c>
      <c r="AQ1292" t="n">
        <v>0</v>
      </c>
      <c r="AR1292" t="inlineStr">
        <is>
          <t>No</t>
        </is>
      </c>
      <c r="AS1292" t="inlineStr">
        <is>
          <t>Yes</t>
        </is>
      </c>
      <c r="AT1292">
        <f>HYPERLINK("http://catalog.hathitrust.org/Record/004760305","HathiTrust Record")</f>
        <v/>
      </c>
      <c r="AU1292">
        <f>HYPERLINK("https://creighton-primo.hosted.exlibrisgroup.com/primo-explore/search?tab=default_tab&amp;search_scope=EVERYTHING&amp;vid=01CRU&amp;lang=en_US&amp;offset=0&amp;query=any,contains,991003762719702656","Catalog Record")</f>
        <v/>
      </c>
      <c r="AV1292">
        <f>HYPERLINK("http://www.worldcat.org/oclc/2458193","WorldCat Record")</f>
        <v/>
      </c>
      <c r="AW1292" t="inlineStr">
        <is>
          <t>4202293140:spa</t>
        </is>
      </c>
      <c r="AX1292" t="inlineStr">
        <is>
          <t>2458193</t>
        </is>
      </c>
      <c r="AY1292" t="inlineStr">
        <is>
          <t>991003762719702656</t>
        </is>
      </c>
      <c r="AZ1292" t="inlineStr">
        <is>
          <t>991003762719702656</t>
        </is>
      </c>
      <c r="BA1292" t="inlineStr">
        <is>
          <t>2268275540002656</t>
        </is>
      </c>
      <c r="BB1292" t="inlineStr">
        <is>
          <t>BOOK</t>
        </is>
      </c>
      <c r="BE1292" t="inlineStr">
        <is>
          <t>32285004460852</t>
        </is>
      </c>
      <c r="BF1292" t="inlineStr">
        <is>
          <t>893252753</t>
        </is>
      </c>
    </row>
    <row r="1293">
      <c r="A1293" t="inlineStr">
        <is>
          <t>No</t>
        </is>
      </c>
      <c r="B1293" t="inlineStr">
        <is>
          <t>CURAL</t>
        </is>
      </c>
      <c r="C1293" t="inlineStr">
        <is>
          <t>SHELVES</t>
        </is>
      </c>
      <c r="D1293" t="inlineStr">
        <is>
          <t>PQ8550.26.A48 F5 1989</t>
        </is>
      </c>
      <c r="E1293" t="inlineStr">
        <is>
          <t>0                      PQ 8550260A  48                 F  5           1989</t>
        </is>
      </c>
      <c r="F1293" t="inlineStr">
        <is>
          <t>Ficciones y aflicciones / Antonia Palacios ; selección y prólogo, Luis Alberto Crespo ; cronología y bibliografía, Antonio López Ortega.</t>
        </is>
      </c>
      <c r="H1293" t="inlineStr">
        <is>
          <t>No</t>
        </is>
      </c>
      <c r="I1293" t="inlineStr">
        <is>
          <t>1</t>
        </is>
      </c>
      <c r="J1293" t="inlineStr">
        <is>
          <t>No</t>
        </is>
      </c>
      <c r="K1293" t="inlineStr">
        <is>
          <t>No</t>
        </is>
      </c>
      <c r="L1293" t="inlineStr">
        <is>
          <t>0</t>
        </is>
      </c>
      <c r="M1293" t="inlineStr">
        <is>
          <t>Palacios, Antonia.</t>
        </is>
      </c>
      <c r="N1293" t="inlineStr">
        <is>
          <t>Caracas, Venezuela : Biblioteca Ayacucho, [1989]</t>
        </is>
      </c>
      <c r="O1293" t="inlineStr">
        <is>
          <t>1989</t>
        </is>
      </c>
      <c r="Q1293" t="inlineStr">
        <is>
          <t>spa</t>
        </is>
      </c>
      <c r="R1293" t="inlineStr">
        <is>
          <t xml:space="preserve">ve </t>
        </is>
      </c>
      <c r="S1293" t="inlineStr">
        <is>
          <t>Biblioteca Ayacucho ; 146</t>
        </is>
      </c>
      <c r="T1293" t="inlineStr">
        <is>
          <t xml:space="preserve">PQ </t>
        </is>
      </c>
      <c r="U1293" t="n">
        <v>2</v>
      </c>
      <c r="V1293" t="n">
        <v>2</v>
      </c>
      <c r="W1293" t="inlineStr">
        <is>
          <t>2002-01-17</t>
        </is>
      </c>
      <c r="X1293" t="inlineStr">
        <is>
          <t>2002-01-17</t>
        </is>
      </c>
      <c r="Y1293" t="inlineStr">
        <is>
          <t>2002-01-17</t>
        </is>
      </c>
      <c r="Z1293" t="inlineStr">
        <is>
          <t>2002-01-17</t>
        </is>
      </c>
      <c r="AA1293" t="n">
        <v>101</v>
      </c>
      <c r="AB1293" t="n">
        <v>79</v>
      </c>
      <c r="AC1293" t="n">
        <v>81</v>
      </c>
      <c r="AD1293" t="n">
        <v>2</v>
      </c>
      <c r="AE1293" t="n">
        <v>2</v>
      </c>
      <c r="AF1293" t="n">
        <v>5</v>
      </c>
      <c r="AG1293" t="n">
        <v>5</v>
      </c>
      <c r="AH1293" t="n">
        <v>0</v>
      </c>
      <c r="AI1293" t="n">
        <v>0</v>
      </c>
      <c r="AJ1293" t="n">
        <v>3</v>
      </c>
      <c r="AK1293" t="n">
        <v>3</v>
      </c>
      <c r="AL1293" t="n">
        <v>3</v>
      </c>
      <c r="AM1293" t="n">
        <v>3</v>
      </c>
      <c r="AN1293" t="n">
        <v>1</v>
      </c>
      <c r="AO1293" t="n">
        <v>1</v>
      </c>
      <c r="AP1293" t="n">
        <v>0</v>
      </c>
      <c r="AQ1293" t="n">
        <v>0</v>
      </c>
      <c r="AR1293" t="inlineStr">
        <is>
          <t>No</t>
        </is>
      </c>
      <c r="AS1293" t="inlineStr">
        <is>
          <t>Yes</t>
        </is>
      </c>
      <c r="AT1293">
        <f>HYPERLINK("http://catalog.hathitrust.org/Record/002879962","HathiTrust Record")</f>
        <v/>
      </c>
      <c r="AU1293">
        <f>HYPERLINK("https://creighton-primo.hosted.exlibrisgroup.com/primo-explore/search?tab=default_tab&amp;search_scope=EVERYTHING&amp;vid=01CRU&amp;lang=en_US&amp;offset=0&amp;query=any,contains,991003714839702656","Catalog Record")</f>
        <v/>
      </c>
      <c r="AV1293">
        <f>HYPERLINK("http://www.worldcat.org/oclc/24147941","WorldCat Record")</f>
        <v/>
      </c>
      <c r="AW1293" t="inlineStr">
        <is>
          <t>26298893:spa</t>
        </is>
      </c>
      <c r="AX1293" t="inlineStr">
        <is>
          <t>24147941</t>
        </is>
      </c>
      <c r="AY1293" t="inlineStr">
        <is>
          <t>991003714839702656</t>
        </is>
      </c>
      <c r="AZ1293" t="inlineStr">
        <is>
          <t>991003714839702656</t>
        </is>
      </c>
      <c r="BA1293" t="inlineStr">
        <is>
          <t>2268446570002656</t>
        </is>
      </c>
      <c r="BB1293" t="inlineStr">
        <is>
          <t>BOOK</t>
        </is>
      </c>
      <c r="BD1293" t="inlineStr">
        <is>
          <t>9789802761036</t>
        </is>
      </c>
      <c r="BE1293" t="inlineStr">
        <is>
          <t>32285004449574</t>
        </is>
      </c>
      <c r="BF1293" t="inlineStr">
        <is>
          <t>893336838</t>
        </is>
      </c>
    </row>
    <row r="1294">
      <c r="A1294" t="inlineStr">
        <is>
          <t>No</t>
        </is>
      </c>
      <c r="B1294" t="inlineStr">
        <is>
          <t>CURAL</t>
        </is>
      </c>
      <c r="C1294" t="inlineStr">
        <is>
          <t>SHELVES</t>
        </is>
      </c>
      <c r="D1294" t="inlineStr">
        <is>
          <t>PQ8550.26.A67 L5 1970</t>
        </is>
      </c>
      <c r="E1294" t="inlineStr">
        <is>
          <t>0                      PQ 8550260A  67                 L  5           1970</t>
        </is>
      </c>
      <c r="F1294" t="inlineStr">
        <is>
          <t>El libro de Fenris : poemas / Pedro Parayma.</t>
        </is>
      </c>
      <c r="H1294" t="inlineStr">
        <is>
          <t>No</t>
        </is>
      </c>
      <c r="I1294" t="inlineStr">
        <is>
          <t>1</t>
        </is>
      </c>
      <c r="J1294" t="inlineStr">
        <is>
          <t>No</t>
        </is>
      </c>
      <c r="K1294" t="inlineStr">
        <is>
          <t>No</t>
        </is>
      </c>
      <c r="L1294" t="inlineStr">
        <is>
          <t>0</t>
        </is>
      </c>
      <c r="M1294" t="inlineStr">
        <is>
          <t>Parayma, Pedro, 1941-</t>
        </is>
      </c>
      <c r="N1294" t="inlineStr">
        <is>
          <t>Caracas : Monte Avila Editores, 1970.</t>
        </is>
      </c>
      <c r="O1294" t="inlineStr">
        <is>
          <t>1970</t>
        </is>
      </c>
      <c r="Q1294" t="inlineStr">
        <is>
          <t>spa</t>
        </is>
      </c>
      <c r="R1294" t="inlineStr">
        <is>
          <t xml:space="preserve">ve </t>
        </is>
      </c>
      <c r="S1294" t="inlineStr">
        <is>
          <t>Colección Donaire</t>
        </is>
      </c>
      <c r="T1294" t="inlineStr">
        <is>
          <t xml:space="preserve">PQ </t>
        </is>
      </c>
      <c r="U1294" t="n">
        <v>2</v>
      </c>
      <c r="V1294" t="n">
        <v>2</v>
      </c>
      <c r="W1294" t="inlineStr">
        <is>
          <t>2002-02-25</t>
        </is>
      </c>
      <c r="X1294" t="inlineStr">
        <is>
          <t>2002-02-25</t>
        </is>
      </c>
      <c r="Y1294" t="inlineStr">
        <is>
          <t>2002-02-25</t>
        </is>
      </c>
      <c r="Z1294" t="inlineStr">
        <is>
          <t>2002-02-25</t>
        </is>
      </c>
      <c r="AA1294" t="n">
        <v>24</v>
      </c>
      <c r="AB1294" t="n">
        <v>15</v>
      </c>
      <c r="AC1294" t="n">
        <v>18</v>
      </c>
      <c r="AD1294" t="n">
        <v>2</v>
      </c>
      <c r="AE1294" t="n">
        <v>2</v>
      </c>
      <c r="AF1294" t="n">
        <v>1</v>
      </c>
      <c r="AG1294" t="n">
        <v>1</v>
      </c>
      <c r="AH1294" t="n">
        <v>0</v>
      </c>
      <c r="AI1294" t="n">
        <v>0</v>
      </c>
      <c r="AJ1294" t="n">
        <v>0</v>
      </c>
      <c r="AK1294" t="n">
        <v>0</v>
      </c>
      <c r="AL1294" t="n">
        <v>0</v>
      </c>
      <c r="AM1294" t="n">
        <v>0</v>
      </c>
      <c r="AN1294" t="n">
        <v>1</v>
      </c>
      <c r="AO1294" t="n">
        <v>1</v>
      </c>
      <c r="AP1294" t="n">
        <v>0</v>
      </c>
      <c r="AQ1294" t="n">
        <v>0</v>
      </c>
      <c r="AR1294" t="inlineStr">
        <is>
          <t>No</t>
        </is>
      </c>
      <c r="AS1294" t="inlineStr">
        <is>
          <t>Yes</t>
        </is>
      </c>
      <c r="AT1294">
        <f>HYPERLINK("http://catalog.hathitrust.org/Record/101165720","HathiTrust Record")</f>
        <v/>
      </c>
      <c r="AU1294">
        <f>HYPERLINK("https://creighton-primo.hosted.exlibrisgroup.com/primo-explore/search?tab=default_tab&amp;search_scope=EVERYTHING&amp;vid=01CRU&amp;lang=en_US&amp;offset=0&amp;query=any,contains,991003750429702656","Catalog Record")</f>
        <v/>
      </c>
      <c r="AV1294">
        <f>HYPERLINK("http://www.worldcat.org/oclc/1984719","WorldCat Record")</f>
        <v/>
      </c>
      <c r="AW1294" t="inlineStr">
        <is>
          <t>495489833:spa</t>
        </is>
      </c>
      <c r="AX1294" t="inlineStr">
        <is>
          <t>1984719</t>
        </is>
      </c>
      <c r="AY1294" t="inlineStr">
        <is>
          <t>991003750429702656</t>
        </is>
      </c>
      <c r="AZ1294" t="inlineStr">
        <is>
          <t>991003750429702656</t>
        </is>
      </c>
      <c r="BA1294" t="inlineStr">
        <is>
          <t>2260493230002656</t>
        </is>
      </c>
      <c r="BB1294" t="inlineStr">
        <is>
          <t>BOOK</t>
        </is>
      </c>
      <c r="BE1294" t="inlineStr">
        <is>
          <t>32285004457411</t>
        </is>
      </c>
      <c r="BF1294" t="inlineStr">
        <is>
          <t>893775109</t>
        </is>
      </c>
    </row>
    <row r="1295">
      <c r="A1295" t="inlineStr">
        <is>
          <t>No</t>
        </is>
      </c>
      <c r="B1295" t="inlineStr">
        <is>
          <t>CURAL</t>
        </is>
      </c>
      <c r="C1295" t="inlineStr">
        <is>
          <t>SHELVES</t>
        </is>
      </c>
      <c r="D1295" t="inlineStr">
        <is>
          <t>PQ8850.2.I48 A6 1995</t>
        </is>
      </c>
      <c r="E1295" t="inlineStr">
        <is>
          <t>0                      PQ 8850200I  48                 A  6           1995</t>
        </is>
      </c>
      <c r="F1295" t="inlineStr">
        <is>
          <t>Cuentos escogidos / Alberto Jimaenez Ure.</t>
        </is>
      </c>
      <c r="H1295" t="inlineStr">
        <is>
          <t>No</t>
        </is>
      </c>
      <c r="I1295" t="inlineStr">
        <is>
          <t>1</t>
        </is>
      </c>
      <c r="J1295" t="inlineStr">
        <is>
          <t>No</t>
        </is>
      </c>
      <c r="K1295" t="inlineStr">
        <is>
          <t>No</t>
        </is>
      </c>
      <c r="L1295" t="inlineStr">
        <is>
          <t>0</t>
        </is>
      </c>
      <c r="M1295" t="inlineStr">
        <is>
          <t>Jiménez Ure, Alberto, 1952-</t>
        </is>
      </c>
      <c r="N1295" t="inlineStr">
        <is>
          <t>Caracas : Monte Avila Editores Latinoamericana, 1995, c1993.</t>
        </is>
      </c>
      <c r="O1295" t="inlineStr">
        <is>
          <t>1995</t>
        </is>
      </c>
      <c r="P1295" t="inlineStr">
        <is>
          <t>1. ed.</t>
        </is>
      </c>
      <c r="Q1295" t="inlineStr">
        <is>
          <t>spa</t>
        </is>
      </c>
      <c r="R1295" t="inlineStr">
        <is>
          <t xml:space="preserve">ve </t>
        </is>
      </c>
      <c r="S1295" t="inlineStr">
        <is>
          <t>Continentes</t>
        </is>
      </c>
      <c r="T1295" t="inlineStr">
        <is>
          <t xml:space="preserve">PQ </t>
        </is>
      </c>
      <c r="U1295" t="n">
        <v>1</v>
      </c>
      <c r="V1295" t="n">
        <v>1</v>
      </c>
      <c r="W1295" t="inlineStr">
        <is>
          <t>2004-08-03</t>
        </is>
      </c>
      <c r="X1295" t="inlineStr">
        <is>
          <t>2004-08-03</t>
        </is>
      </c>
      <c r="Y1295" t="inlineStr">
        <is>
          <t>2004-08-03</t>
        </is>
      </c>
      <c r="Z1295" t="inlineStr">
        <is>
          <t>2004-08-03</t>
        </is>
      </c>
      <c r="AA1295" t="n">
        <v>37</v>
      </c>
      <c r="AB1295" t="n">
        <v>30</v>
      </c>
      <c r="AC1295" t="n">
        <v>32</v>
      </c>
      <c r="AD1295" t="n">
        <v>1</v>
      </c>
      <c r="AE1295" t="n">
        <v>1</v>
      </c>
      <c r="AF1295" t="n">
        <v>2</v>
      </c>
      <c r="AG1295" t="n">
        <v>2</v>
      </c>
      <c r="AH1295" t="n">
        <v>1</v>
      </c>
      <c r="AI1295" t="n">
        <v>1</v>
      </c>
      <c r="AJ1295" t="n">
        <v>0</v>
      </c>
      <c r="AK1295" t="n">
        <v>0</v>
      </c>
      <c r="AL1295" t="n">
        <v>2</v>
      </c>
      <c r="AM1295" t="n">
        <v>2</v>
      </c>
      <c r="AN1295" t="n">
        <v>0</v>
      </c>
      <c r="AO1295" t="n">
        <v>0</v>
      </c>
      <c r="AP1295" t="n">
        <v>0</v>
      </c>
      <c r="AQ1295" t="n">
        <v>0</v>
      </c>
      <c r="AR1295" t="inlineStr">
        <is>
          <t>No</t>
        </is>
      </c>
      <c r="AS1295" t="inlineStr">
        <is>
          <t>Yes</t>
        </is>
      </c>
      <c r="AT1295">
        <f>HYPERLINK("http://catalog.hathitrust.org/Record/101165342","HathiTrust Record")</f>
        <v/>
      </c>
      <c r="AU1295">
        <f>HYPERLINK("https://creighton-primo.hosted.exlibrisgroup.com/primo-explore/search?tab=default_tab&amp;search_scope=EVERYTHING&amp;vid=01CRU&amp;lang=en_US&amp;offset=0&amp;query=any,contains,991004334829702656","Catalog Record")</f>
        <v/>
      </c>
      <c r="AV1295">
        <f>HYPERLINK("http://www.worldcat.org/oclc/33408346","WorldCat Record")</f>
        <v/>
      </c>
      <c r="AW1295" t="inlineStr">
        <is>
          <t>3901465780:spa</t>
        </is>
      </c>
      <c r="AX1295" t="inlineStr">
        <is>
          <t>33408346</t>
        </is>
      </c>
      <c r="AY1295" t="inlineStr">
        <is>
          <t>991004334829702656</t>
        </is>
      </c>
      <c r="AZ1295" t="inlineStr">
        <is>
          <t>991004334829702656</t>
        </is>
      </c>
      <c r="BA1295" t="inlineStr">
        <is>
          <t>2255855710002656</t>
        </is>
      </c>
      <c r="BB1295" t="inlineStr">
        <is>
          <t>BOOK</t>
        </is>
      </c>
      <c r="BD1295" t="inlineStr">
        <is>
          <t>9789800108543</t>
        </is>
      </c>
      <c r="BE1295" t="inlineStr">
        <is>
          <t>32285004928155</t>
        </is>
      </c>
      <c r="BF1295" t="inlineStr">
        <is>
          <t>893253571</t>
        </is>
      </c>
    </row>
    <row r="1296">
      <c r="A1296" t="inlineStr">
        <is>
          <t>No</t>
        </is>
      </c>
      <c r="B1296" t="inlineStr">
        <is>
          <t>CURAL</t>
        </is>
      </c>
      <c r="C1296" t="inlineStr">
        <is>
          <t>SHELVES</t>
        </is>
      </c>
      <c r="D1296" t="inlineStr">
        <is>
          <t>PQ9261.R536 C6413 1991</t>
        </is>
      </c>
      <c r="E1296" t="inlineStr">
        <is>
          <t>0                      PQ 9261000R  536                C  6413        1991</t>
        </is>
      </c>
      <c r="F1296" t="inlineStr">
        <is>
          <t>Tales from the mountain / Miguel Torga ; translated by Ivana Carlsen.</t>
        </is>
      </c>
      <c r="H1296" t="inlineStr">
        <is>
          <t>No</t>
        </is>
      </c>
      <c r="I1296" t="inlineStr">
        <is>
          <t>1</t>
        </is>
      </c>
      <c r="J1296" t="inlineStr">
        <is>
          <t>No</t>
        </is>
      </c>
      <c r="K1296" t="inlineStr">
        <is>
          <t>No</t>
        </is>
      </c>
      <c r="L1296" t="inlineStr">
        <is>
          <t>0</t>
        </is>
      </c>
      <c r="M1296" t="inlineStr">
        <is>
          <t>Torga, Miguel, 1907-1995.</t>
        </is>
      </c>
      <c r="N1296" t="inlineStr">
        <is>
          <t>Fort Bragg, Calif. : Q.E.D. Press, c1991.</t>
        </is>
      </c>
      <c r="O1296" t="inlineStr">
        <is>
          <t>1991</t>
        </is>
      </c>
      <c r="P1296" t="inlineStr">
        <is>
          <t>1st U.S. ed.</t>
        </is>
      </c>
      <c r="Q1296" t="inlineStr">
        <is>
          <t>eng</t>
        </is>
      </c>
      <c r="R1296" t="inlineStr">
        <is>
          <t>cau</t>
        </is>
      </c>
      <c r="T1296" t="inlineStr">
        <is>
          <t xml:space="preserve">PQ </t>
        </is>
      </c>
      <c r="U1296" t="n">
        <v>2</v>
      </c>
      <c r="V1296" t="n">
        <v>2</v>
      </c>
      <c r="W1296" t="inlineStr">
        <is>
          <t>2005-03-01</t>
        </is>
      </c>
      <c r="X1296" t="inlineStr">
        <is>
          <t>2005-03-01</t>
        </is>
      </c>
      <c r="Y1296" t="inlineStr">
        <is>
          <t>1996-12-14</t>
        </is>
      </c>
      <c r="Z1296" t="inlineStr">
        <is>
          <t>1996-12-14</t>
        </is>
      </c>
      <c r="AA1296" t="n">
        <v>218</v>
      </c>
      <c r="AB1296" t="n">
        <v>197</v>
      </c>
      <c r="AC1296" t="n">
        <v>205</v>
      </c>
      <c r="AD1296" t="n">
        <v>1</v>
      </c>
      <c r="AE1296" t="n">
        <v>1</v>
      </c>
      <c r="AF1296" t="n">
        <v>8</v>
      </c>
      <c r="AG1296" t="n">
        <v>8</v>
      </c>
      <c r="AH1296" t="n">
        <v>2</v>
      </c>
      <c r="AI1296" t="n">
        <v>2</v>
      </c>
      <c r="AJ1296" t="n">
        <v>3</v>
      </c>
      <c r="AK1296" t="n">
        <v>3</v>
      </c>
      <c r="AL1296" t="n">
        <v>5</v>
      </c>
      <c r="AM1296" t="n">
        <v>5</v>
      </c>
      <c r="AN1296" t="n">
        <v>0</v>
      </c>
      <c r="AO1296" t="n">
        <v>0</v>
      </c>
      <c r="AP1296" t="n">
        <v>0</v>
      </c>
      <c r="AQ1296" t="n">
        <v>0</v>
      </c>
      <c r="AR1296" t="inlineStr">
        <is>
          <t>No</t>
        </is>
      </c>
      <c r="AS1296" t="inlineStr">
        <is>
          <t>Yes</t>
        </is>
      </c>
      <c r="AT1296">
        <f>HYPERLINK("http://catalog.hathitrust.org/Record/002859942","HathiTrust Record")</f>
        <v/>
      </c>
      <c r="AU1296">
        <f>HYPERLINK("https://creighton-primo.hosted.exlibrisgroup.com/primo-explore/search?tab=default_tab&amp;search_scope=EVERYTHING&amp;vid=01CRU&amp;lang=en_US&amp;offset=0&amp;query=any,contains,991001872469702656","Catalog Record")</f>
        <v/>
      </c>
      <c r="AV1296">
        <f>HYPERLINK("http://www.worldcat.org/oclc/23649830","WorldCat Record")</f>
        <v/>
      </c>
      <c r="AW1296" t="inlineStr">
        <is>
          <t>5090450398:eng</t>
        </is>
      </c>
      <c r="AX1296" t="inlineStr">
        <is>
          <t>23649830</t>
        </is>
      </c>
      <c r="AY1296" t="inlineStr">
        <is>
          <t>991001872469702656</t>
        </is>
      </c>
      <c r="AZ1296" t="inlineStr">
        <is>
          <t>991001872469702656</t>
        </is>
      </c>
      <c r="BA1296" t="inlineStr">
        <is>
          <t>2261829130002656</t>
        </is>
      </c>
      <c r="BB1296" t="inlineStr">
        <is>
          <t>BOOK</t>
        </is>
      </c>
      <c r="BD1296" t="inlineStr">
        <is>
          <t>9780936609249</t>
        </is>
      </c>
      <c r="BE1296" t="inlineStr">
        <is>
          <t>32285002396850</t>
        </is>
      </c>
      <c r="BF1296" t="inlineStr">
        <is>
          <t>893590705</t>
        </is>
      </c>
    </row>
    <row r="1297">
      <c r="A1297" t="inlineStr">
        <is>
          <t>No</t>
        </is>
      </c>
      <c r="B1297" t="inlineStr">
        <is>
          <t>CURAL</t>
        </is>
      </c>
      <c r="C1297" t="inlineStr">
        <is>
          <t>SHELVES</t>
        </is>
      </c>
      <c r="D1297" t="inlineStr">
        <is>
          <t>PQ9511 .G6 1978</t>
        </is>
      </c>
      <c r="E1297" t="inlineStr">
        <is>
          <t>0                      PQ 9511000G  6           1978</t>
        </is>
      </c>
      <c r="F1297" t="inlineStr">
        <is>
          <t>Brazilian literature / Isaac Goldberg ; with a foreword by J. D. M. Ford.</t>
        </is>
      </c>
      <c r="H1297" t="inlineStr">
        <is>
          <t>No</t>
        </is>
      </c>
      <c r="I1297" t="inlineStr">
        <is>
          <t>1</t>
        </is>
      </c>
      <c r="J1297" t="inlineStr">
        <is>
          <t>No</t>
        </is>
      </c>
      <c r="K1297" t="inlineStr">
        <is>
          <t>No</t>
        </is>
      </c>
      <c r="L1297" t="inlineStr">
        <is>
          <t>0</t>
        </is>
      </c>
      <c r="M1297" t="inlineStr">
        <is>
          <t>Goldberg, Isaac, 1887-1938.</t>
        </is>
      </c>
      <c r="N1297" t="inlineStr">
        <is>
          <t>Great Neck, N.Y. : Core Collection Books, 1978.</t>
        </is>
      </c>
      <c r="O1297" t="inlineStr">
        <is>
          <t>1978</t>
        </is>
      </c>
      <c r="Q1297" t="inlineStr">
        <is>
          <t>eng</t>
        </is>
      </c>
      <c r="R1297" t="inlineStr">
        <is>
          <t>nyu</t>
        </is>
      </c>
      <c r="S1297" t="inlineStr">
        <is>
          <t>Essay index in reprint</t>
        </is>
      </c>
      <c r="T1297" t="inlineStr">
        <is>
          <t xml:space="preserve">PQ </t>
        </is>
      </c>
      <c r="U1297" t="n">
        <v>2</v>
      </c>
      <c r="V1297" t="n">
        <v>2</v>
      </c>
      <c r="W1297" t="inlineStr">
        <is>
          <t>1994-09-19</t>
        </is>
      </c>
      <c r="X1297" t="inlineStr">
        <is>
          <t>1994-09-19</t>
        </is>
      </c>
      <c r="Y1297" t="inlineStr">
        <is>
          <t>1991-08-13</t>
        </is>
      </c>
      <c r="Z1297" t="inlineStr">
        <is>
          <t>1991-08-13</t>
        </is>
      </c>
      <c r="AA1297" t="n">
        <v>43</v>
      </c>
      <c r="AB1297" t="n">
        <v>38</v>
      </c>
      <c r="AC1297" t="n">
        <v>82</v>
      </c>
      <c r="AD1297" t="n">
        <v>1</v>
      </c>
      <c r="AE1297" t="n">
        <v>1</v>
      </c>
      <c r="AF1297" t="n">
        <v>1</v>
      </c>
      <c r="AG1297" t="n">
        <v>3</v>
      </c>
      <c r="AH1297" t="n">
        <v>1</v>
      </c>
      <c r="AI1297" t="n">
        <v>3</v>
      </c>
      <c r="AJ1297" t="n">
        <v>0</v>
      </c>
      <c r="AK1297" t="n">
        <v>0</v>
      </c>
      <c r="AL1297" t="n">
        <v>0</v>
      </c>
      <c r="AM1297" t="n">
        <v>1</v>
      </c>
      <c r="AN1297" t="n">
        <v>0</v>
      </c>
      <c r="AO1297" t="n">
        <v>0</v>
      </c>
      <c r="AP1297" t="n">
        <v>0</v>
      </c>
      <c r="AQ1297" t="n">
        <v>0</v>
      </c>
      <c r="AR1297" t="inlineStr">
        <is>
          <t>No</t>
        </is>
      </c>
      <c r="AS1297" t="inlineStr">
        <is>
          <t>Yes</t>
        </is>
      </c>
      <c r="AT1297">
        <f>HYPERLINK("http://catalog.hathitrust.org/Record/101017602","HathiTrust Record")</f>
        <v/>
      </c>
      <c r="AU1297">
        <f>HYPERLINK("https://creighton-primo.hosted.exlibrisgroup.com/primo-explore/search?tab=default_tab&amp;search_scope=EVERYTHING&amp;vid=01CRU&amp;lang=en_US&amp;offset=0&amp;query=any,contains,991004679709702656","Catalog Record")</f>
        <v/>
      </c>
      <c r="AV1297">
        <f>HYPERLINK("http://www.worldcat.org/oclc/4555360","WorldCat Record")</f>
        <v/>
      </c>
      <c r="AW1297" t="inlineStr">
        <is>
          <t>583404:eng</t>
        </is>
      </c>
      <c r="AX1297" t="inlineStr">
        <is>
          <t>4555360</t>
        </is>
      </c>
      <c r="AY1297" t="inlineStr">
        <is>
          <t>991004679709702656</t>
        </is>
      </c>
      <c r="AZ1297" t="inlineStr">
        <is>
          <t>991004679709702656</t>
        </is>
      </c>
      <c r="BA1297" t="inlineStr">
        <is>
          <t>2256494910002656</t>
        </is>
      </c>
      <c r="BB1297" t="inlineStr">
        <is>
          <t>BOOK</t>
        </is>
      </c>
      <c r="BD1297" t="inlineStr">
        <is>
          <t>9780848630195</t>
        </is>
      </c>
      <c r="BE1297" t="inlineStr">
        <is>
          <t>32285000684505</t>
        </is>
      </c>
      <c r="BF1297" t="inlineStr">
        <is>
          <t>893344126</t>
        </is>
      </c>
    </row>
    <row r="1298">
      <c r="A1298" t="inlineStr">
        <is>
          <t>No</t>
        </is>
      </c>
      <c r="B1298" t="inlineStr">
        <is>
          <t>CURAL</t>
        </is>
      </c>
      <c r="C1298" t="inlineStr">
        <is>
          <t>SHELVES</t>
        </is>
      </c>
      <c r="D1298" t="inlineStr">
        <is>
          <t>PQ9697.A6 M418 1977</t>
        </is>
      </c>
      <c r="E1298" t="inlineStr">
        <is>
          <t>0                      PQ 9697000A  6                  M  418         1977</t>
        </is>
      </c>
      <c r="F1298" t="inlineStr">
        <is>
          <t>Memorias de un sargento de milicias / Manuel Antônio de Almeida ; prólogo y notas, Antonio Cándido ; cronología, Laura de Campos Vergueira ; traducción, Elvio Romero.</t>
        </is>
      </c>
      <c r="H1298" t="inlineStr">
        <is>
          <t>No</t>
        </is>
      </c>
      <c r="I1298" t="inlineStr">
        <is>
          <t>1</t>
        </is>
      </c>
      <c r="J1298" t="inlineStr">
        <is>
          <t>No</t>
        </is>
      </c>
      <c r="K1298" t="inlineStr">
        <is>
          <t>No</t>
        </is>
      </c>
      <c r="L1298" t="inlineStr">
        <is>
          <t>0</t>
        </is>
      </c>
      <c r="M1298" t="inlineStr">
        <is>
          <t>Almeida, Manuel Antônio de, 1831-1861.</t>
        </is>
      </c>
      <c r="N1298" t="inlineStr">
        <is>
          <t>Caracas, Venezuela : Biblioteca Ayacucho, 1977.</t>
        </is>
      </c>
      <c r="O1298" t="inlineStr">
        <is>
          <t>1977</t>
        </is>
      </c>
      <c r="Q1298" t="inlineStr">
        <is>
          <t>spa</t>
        </is>
      </c>
      <c r="R1298" t="inlineStr">
        <is>
          <t xml:space="preserve">ve </t>
        </is>
      </c>
      <c r="S1298" t="inlineStr">
        <is>
          <t>Biblioteca Ayacucho ; 25</t>
        </is>
      </c>
      <c r="T1298" t="inlineStr">
        <is>
          <t xml:space="preserve">PQ </t>
        </is>
      </c>
      <c r="U1298" t="n">
        <v>1</v>
      </c>
      <c r="V1298" t="n">
        <v>1</v>
      </c>
      <c r="W1298" t="inlineStr">
        <is>
          <t>2001-11-19</t>
        </is>
      </c>
      <c r="X1298" t="inlineStr">
        <is>
          <t>2001-11-19</t>
        </is>
      </c>
      <c r="Y1298" t="inlineStr">
        <is>
          <t>2001-11-19</t>
        </is>
      </c>
      <c r="Z1298" t="inlineStr">
        <is>
          <t>2001-11-19</t>
        </is>
      </c>
      <c r="AA1298" t="n">
        <v>110</v>
      </c>
      <c r="AB1298" t="n">
        <v>79</v>
      </c>
      <c r="AC1298" t="n">
        <v>110</v>
      </c>
      <c r="AD1298" t="n">
        <v>1</v>
      </c>
      <c r="AE1298" t="n">
        <v>2</v>
      </c>
      <c r="AF1298" t="n">
        <v>2</v>
      </c>
      <c r="AG1298" t="n">
        <v>5</v>
      </c>
      <c r="AH1298" t="n">
        <v>0</v>
      </c>
      <c r="AI1298" t="n">
        <v>0</v>
      </c>
      <c r="AJ1298" t="n">
        <v>2</v>
      </c>
      <c r="AK1298" t="n">
        <v>3</v>
      </c>
      <c r="AL1298" t="n">
        <v>1</v>
      </c>
      <c r="AM1298" t="n">
        <v>3</v>
      </c>
      <c r="AN1298" t="n">
        <v>0</v>
      </c>
      <c r="AO1298" t="n">
        <v>1</v>
      </c>
      <c r="AP1298" t="n">
        <v>0</v>
      </c>
      <c r="AQ1298" t="n">
        <v>0</v>
      </c>
      <c r="AR1298" t="inlineStr">
        <is>
          <t>No</t>
        </is>
      </c>
      <c r="AS1298" t="inlineStr">
        <is>
          <t>Yes</t>
        </is>
      </c>
      <c r="AT1298">
        <f>HYPERLINK("http://catalog.hathitrust.org/Record/006719891","HathiTrust Record")</f>
        <v/>
      </c>
      <c r="AU1298">
        <f>HYPERLINK("https://creighton-primo.hosted.exlibrisgroup.com/primo-explore/search?tab=default_tab&amp;search_scope=EVERYTHING&amp;vid=01CRU&amp;lang=en_US&amp;offset=0&amp;query=any,contains,991003682829702656","Catalog Record")</f>
        <v/>
      </c>
      <c r="AV1298">
        <f>HYPERLINK("http://www.worldcat.org/oclc/25827246","WorldCat Record")</f>
        <v/>
      </c>
      <c r="AW1298" t="inlineStr">
        <is>
          <t>10567637897:spa</t>
        </is>
      </c>
      <c r="AX1298" t="inlineStr">
        <is>
          <t>25827246</t>
        </is>
      </c>
      <c r="AY1298" t="inlineStr">
        <is>
          <t>991003682829702656</t>
        </is>
      </c>
      <c r="AZ1298" t="inlineStr">
        <is>
          <t>991003682829702656</t>
        </is>
      </c>
      <c r="BA1298" t="inlineStr">
        <is>
          <t>2267451740002656</t>
        </is>
      </c>
      <c r="BB1298" t="inlineStr">
        <is>
          <t>BOOK</t>
        </is>
      </c>
      <c r="BE1298" t="inlineStr">
        <is>
          <t>32285004412598</t>
        </is>
      </c>
      <c r="BF1298" t="inlineStr">
        <is>
          <t>893252636</t>
        </is>
      </c>
    </row>
    <row r="1299">
      <c r="A1299" t="inlineStr">
        <is>
          <t>No</t>
        </is>
      </c>
      <c r="B1299" t="inlineStr">
        <is>
          <t>CURAL</t>
        </is>
      </c>
      <c r="C1299" t="inlineStr">
        <is>
          <t>SHELVES</t>
        </is>
      </c>
      <c r="D1299" t="inlineStr">
        <is>
          <t>PQ9697.L544 Q8 1978</t>
        </is>
      </c>
      <c r="E1299" t="inlineStr">
        <is>
          <t>0                      PQ 9697000L  544                Q  8           1978</t>
        </is>
      </c>
      <c r="F1299" t="inlineStr">
        <is>
          <t>Dos novelas / Lima Barreto ; prólogo y cronología Francisco de Assis Barbosa.</t>
        </is>
      </c>
      <c r="H1299" t="inlineStr">
        <is>
          <t>No</t>
        </is>
      </c>
      <c r="I1299" t="inlineStr">
        <is>
          <t>1</t>
        </is>
      </c>
      <c r="J1299" t="inlineStr">
        <is>
          <t>No</t>
        </is>
      </c>
      <c r="K1299" t="inlineStr">
        <is>
          <t>No</t>
        </is>
      </c>
      <c r="L1299" t="inlineStr">
        <is>
          <t>0</t>
        </is>
      </c>
      <c r="M1299" t="inlineStr">
        <is>
          <t>Barreto, Lima, 1881-1922.</t>
        </is>
      </c>
      <c r="N1299" t="inlineStr">
        <is>
          <t>Caracas, Venezuela : Biblioteca Ayacucho, [1978]</t>
        </is>
      </c>
      <c r="O1299" t="inlineStr">
        <is>
          <t>1978</t>
        </is>
      </c>
      <c r="Q1299" t="inlineStr">
        <is>
          <t>spa</t>
        </is>
      </c>
      <c r="R1299" t="inlineStr">
        <is>
          <t xml:space="preserve">ve </t>
        </is>
      </c>
      <c r="S1299" t="inlineStr">
        <is>
          <t>Biblioteca Ayacucho ; 49</t>
        </is>
      </c>
      <c r="T1299" t="inlineStr">
        <is>
          <t xml:space="preserve">PQ </t>
        </is>
      </c>
      <c r="U1299" t="n">
        <v>1</v>
      </c>
      <c r="V1299" t="n">
        <v>1</v>
      </c>
      <c r="W1299" t="inlineStr">
        <is>
          <t>2001-11-19</t>
        </is>
      </c>
      <c r="X1299" t="inlineStr">
        <is>
          <t>2001-11-19</t>
        </is>
      </c>
      <c r="Y1299" t="inlineStr">
        <is>
          <t>2001-11-19</t>
        </is>
      </c>
      <c r="Z1299" t="inlineStr">
        <is>
          <t>2001-11-19</t>
        </is>
      </c>
      <c r="AA1299" t="n">
        <v>22</v>
      </c>
      <c r="AB1299" t="n">
        <v>6</v>
      </c>
      <c r="AC1299" t="n">
        <v>111</v>
      </c>
      <c r="AD1299" t="n">
        <v>1</v>
      </c>
      <c r="AE1299" t="n">
        <v>2</v>
      </c>
      <c r="AF1299" t="n">
        <v>1</v>
      </c>
      <c r="AG1299" t="n">
        <v>6</v>
      </c>
      <c r="AH1299" t="n">
        <v>0</v>
      </c>
      <c r="AI1299" t="n">
        <v>0</v>
      </c>
      <c r="AJ1299" t="n">
        <v>1</v>
      </c>
      <c r="AK1299" t="n">
        <v>3</v>
      </c>
      <c r="AL1299" t="n">
        <v>1</v>
      </c>
      <c r="AM1299" t="n">
        <v>4</v>
      </c>
      <c r="AN1299" t="n">
        <v>0</v>
      </c>
      <c r="AO1299" t="n">
        <v>1</v>
      </c>
      <c r="AP1299" t="n">
        <v>0</v>
      </c>
      <c r="AQ1299" t="n">
        <v>0</v>
      </c>
      <c r="AR1299" t="inlineStr">
        <is>
          <t>No</t>
        </is>
      </c>
      <c r="AS1299" t="inlineStr">
        <is>
          <t>No</t>
        </is>
      </c>
      <c r="AU1299">
        <f>HYPERLINK("https://creighton-primo.hosted.exlibrisgroup.com/primo-explore/search?tab=default_tab&amp;search_scope=EVERYTHING&amp;vid=01CRU&amp;lang=en_US&amp;offset=0&amp;query=any,contains,991003682059702656","Catalog Record")</f>
        <v/>
      </c>
      <c r="AV1299">
        <f>HYPERLINK("http://www.worldcat.org/oclc/13565994","WorldCat Record")</f>
        <v/>
      </c>
      <c r="AW1299" t="inlineStr">
        <is>
          <t>4925235461:spa</t>
        </is>
      </c>
      <c r="AX1299" t="inlineStr">
        <is>
          <t>13565994</t>
        </is>
      </c>
      <c r="AY1299" t="inlineStr">
        <is>
          <t>991003682059702656</t>
        </is>
      </c>
      <c r="AZ1299" t="inlineStr">
        <is>
          <t>991003682059702656</t>
        </is>
      </c>
      <c r="BA1299" t="inlineStr">
        <is>
          <t>2257295230002656</t>
        </is>
      </c>
      <c r="BB1299" t="inlineStr">
        <is>
          <t>BOOK</t>
        </is>
      </c>
      <c r="BD1299" t="inlineStr">
        <is>
          <t>9788449900587</t>
        </is>
      </c>
      <c r="BE1299" t="inlineStr">
        <is>
          <t>32285004412481</t>
        </is>
      </c>
      <c r="BF1299" t="inlineStr">
        <is>
          <t>893349003</t>
        </is>
      </c>
    </row>
    <row r="1300">
      <c r="A1300" t="inlineStr">
        <is>
          <t>No</t>
        </is>
      </c>
      <c r="B1300" t="inlineStr">
        <is>
          <t>CURAL</t>
        </is>
      </c>
      <c r="C1300" t="inlineStr">
        <is>
          <t>SHELVES</t>
        </is>
      </c>
      <c r="D1300" t="inlineStr">
        <is>
          <t>PQ9697.L555 R313 1995</t>
        </is>
      </c>
      <c r="E1300" t="inlineStr">
        <is>
          <t>0                      PQ 9697000L  555                R  313         1995</t>
        </is>
      </c>
      <c r="F1300" t="inlineStr">
        <is>
          <t>The queen of the prisons of Greece / Osman Lins ; translated by Adria Frizzi.</t>
        </is>
      </c>
      <c r="H1300" t="inlineStr">
        <is>
          <t>No</t>
        </is>
      </c>
      <c r="I1300" t="inlineStr">
        <is>
          <t>1</t>
        </is>
      </c>
      <c r="J1300" t="inlineStr">
        <is>
          <t>No</t>
        </is>
      </c>
      <c r="K1300" t="inlineStr">
        <is>
          <t>No</t>
        </is>
      </c>
      <c r="L1300" t="inlineStr">
        <is>
          <t>0</t>
        </is>
      </c>
      <c r="M1300" t="inlineStr">
        <is>
          <t>Lins, Osman, 1924-1978.</t>
        </is>
      </c>
      <c r="N1300" t="inlineStr">
        <is>
          <t>Normal, IL : Dalkey Archive Press, 1995.</t>
        </is>
      </c>
      <c r="O1300" t="inlineStr">
        <is>
          <t>1995</t>
        </is>
      </c>
      <c r="P1300" t="inlineStr">
        <is>
          <t>1st ed.</t>
        </is>
      </c>
      <c r="Q1300" t="inlineStr">
        <is>
          <t>eng</t>
        </is>
      </c>
      <c r="R1300" t="inlineStr">
        <is>
          <t>ilu</t>
        </is>
      </c>
      <c r="S1300" t="inlineStr">
        <is>
          <t>World literature series</t>
        </is>
      </c>
      <c r="T1300" t="inlineStr">
        <is>
          <t xml:space="preserve">PQ </t>
        </is>
      </c>
      <c r="U1300" t="n">
        <v>1</v>
      </c>
      <c r="V1300" t="n">
        <v>1</v>
      </c>
      <c r="W1300" t="inlineStr">
        <is>
          <t>2005-04-04</t>
        </is>
      </c>
      <c r="X1300" t="inlineStr">
        <is>
          <t>2005-04-04</t>
        </is>
      </c>
      <c r="Y1300" t="inlineStr">
        <is>
          <t>2005-04-04</t>
        </is>
      </c>
      <c r="Z1300" t="inlineStr">
        <is>
          <t>2005-04-04</t>
        </is>
      </c>
      <c r="AA1300" t="n">
        <v>302</v>
      </c>
      <c r="AB1300" t="n">
        <v>283</v>
      </c>
      <c r="AC1300" t="n">
        <v>288</v>
      </c>
      <c r="AD1300" t="n">
        <v>2</v>
      </c>
      <c r="AE1300" t="n">
        <v>2</v>
      </c>
      <c r="AF1300" t="n">
        <v>12</v>
      </c>
      <c r="AG1300" t="n">
        <v>12</v>
      </c>
      <c r="AH1300" t="n">
        <v>5</v>
      </c>
      <c r="AI1300" t="n">
        <v>5</v>
      </c>
      <c r="AJ1300" t="n">
        <v>2</v>
      </c>
      <c r="AK1300" t="n">
        <v>2</v>
      </c>
      <c r="AL1300" t="n">
        <v>7</v>
      </c>
      <c r="AM1300" t="n">
        <v>7</v>
      </c>
      <c r="AN1300" t="n">
        <v>1</v>
      </c>
      <c r="AO1300" t="n">
        <v>1</v>
      </c>
      <c r="AP1300" t="n">
        <v>0</v>
      </c>
      <c r="AQ1300" t="n">
        <v>0</v>
      </c>
      <c r="AR1300" t="inlineStr">
        <is>
          <t>No</t>
        </is>
      </c>
      <c r="AS1300" t="inlineStr">
        <is>
          <t>Yes</t>
        </is>
      </c>
      <c r="AT1300">
        <f>HYPERLINK("http://catalog.hathitrust.org/Record/003061156","HathiTrust Record")</f>
        <v/>
      </c>
      <c r="AU1300">
        <f>HYPERLINK("https://creighton-primo.hosted.exlibrisgroup.com/primo-explore/search?tab=default_tab&amp;search_scope=EVERYTHING&amp;vid=01CRU&amp;lang=en_US&amp;offset=0&amp;query=any,contains,991004505609702656","Catalog Record")</f>
        <v/>
      </c>
      <c r="AV1300">
        <f>HYPERLINK("http://www.worldcat.org/oclc/30031056","WorldCat Record")</f>
        <v/>
      </c>
      <c r="AW1300" t="inlineStr">
        <is>
          <t>110062123:eng</t>
        </is>
      </c>
      <c r="AX1300" t="inlineStr">
        <is>
          <t>30031056</t>
        </is>
      </c>
      <c r="AY1300" t="inlineStr">
        <is>
          <t>991004505609702656</t>
        </is>
      </c>
      <c r="AZ1300" t="inlineStr">
        <is>
          <t>991004505609702656</t>
        </is>
      </c>
      <c r="BA1300" t="inlineStr">
        <is>
          <t>2269468750002656</t>
        </is>
      </c>
      <c r="BB1300" t="inlineStr">
        <is>
          <t>BOOK</t>
        </is>
      </c>
      <c r="BD1300" t="inlineStr">
        <is>
          <t>9781564780560</t>
        </is>
      </c>
      <c r="BE1300" t="inlineStr">
        <is>
          <t>32285005047724</t>
        </is>
      </c>
      <c r="BF1300" t="inlineStr">
        <is>
          <t>893801026</t>
        </is>
      </c>
    </row>
    <row r="1301">
      <c r="A1301" t="inlineStr">
        <is>
          <t>No</t>
        </is>
      </c>
      <c r="B1301" t="inlineStr">
        <is>
          <t>CURAL</t>
        </is>
      </c>
      <c r="C1301" t="inlineStr">
        <is>
          <t>SHELVES</t>
        </is>
      </c>
      <c r="D1301" t="inlineStr">
        <is>
          <t>PQ9697.L585 P318 1969</t>
        </is>
      </c>
      <c r="E1301" t="inlineStr">
        <is>
          <t>0                      PQ 9697000L  585                P  318         1969</t>
        </is>
      </c>
      <c r="F1301" t="inlineStr">
        <is>
          <t>La pasión segun G.H. : novela / Clarice Lispector ; [versión castellana: Juan Garcia Gayo]. --</t>
        </is>
      </c>
      <c r="H1301" t="inlineStr">
        <is>
          <t>No</t>
        </is>
      </c>
      <c r="I1301" t="inlineStr">
        <is>
          <t>1</t>
        </is>
      </c>
      <c r="J1301" t="inlineStr">
        <is>
          <t>No</t>
        </is>
      </c>
      <c r="K1301" t="inlineStr">
        <is>
          <t>No</t>
        </is>
      </c>
      <c r="L1301" t="inlineStr">
        <is>
          <t>0</t>
        </is>
      </c>
      <c r="M1301" t="inlineStr">
        <is>
          <t>Lispector, Clarice.</t>
        </is>
      </c>
      <c r="N1301" t="inlineStr">
        <is>
          <t>[Caracas] : Monte Avila Editores, [1969]</t>
        </is>
      </c>
      <c r="O1301" t="inlineStr">
        <is>
          <t>1969</t>
        </is>
      </c>
      <c r="Q1301" t="inlineStr">
        <is>
          <t>spa</t>
        </is>
      </c>
      <c r="R1301" t="inlineStr">
        <is>
          <t xml:space="preserve">ve </t>
        </is>
      </c>
      <c r="S1301" t="inlineStr">
        <is>
          <t>Colección Continente</t>
        </is>
      </c>
      <c r="T1301" t="inlineStr">
        <is>
          <t xml:space="preserve">PQ </t>
        </is>
      </c>
      <c r="U1301" t="n">
        <v>1</v>
      </c>
      <c r="V1301" t="n">
        <v>1</v>
      </c>
      <c r="W1301" t="inlineStr">
        <is>
          <t>2002-06-10</t>
        </is>
      </c>
      <c r="X1301" t="inlineStr">
        <is>
          <t>2002-06-10</t>
        </is>
      </c>
      <c r="Y1301" t="inlineStr">
        <is>
          <t>2002-06-10</t>
        </is>
      </c>
      <c r="Z1301" t="inlineStr">
        <is>
          <t>2002-06-10</t>
        </is>
      </c>
      <c r="AA1301" t="n">
        <v>24</v>
      </c>
      <c r="AB1301" t="n">
        <v>16</v>
      </c>
      <c r="AC1301" t="n">
        <v>49</v>
      </c>
      <c r="AD1301" t="n">
        <v>2</v>
      </c>
      <c r="AE1301" t="n">
        <v>2</v>
      </c>
      <c r="AF1301" t="n">
        <v>1</v>
      </c>
      <c r="AG1301" t="n">
        <v>3</v>
      </c>
      <c r="AH1301" t="n">
        <v>0</v>
      </c>
      <c r="AI1301" t="n">
        <v>1</v>
      </c>
      <c r="AJ1301" t="n">
        <v>0</v>
      </c>
      <c r="AK1301" t="n">
        <v>1</v>
      </c>
      <c r="AL1301" t="n">
        <v>0</v>
      </c>
      <c r="AM1301" t="n">
        <v>1</v>
      </c>
      <c r="AN1301" t="n">
        <v>1</v>
      </c>
      <c r="AO1301" t="n">
        <v>1</v>
      </c>
      <c r="AP1301" t="n">
        <v>0</v>
      </c>
      <c r="AQ1301" t="n">
        <v>0</v>
      </c>
      <c r="AR1301" t="inlineStr">
        <is>
          <t>No</t>
        </is>
      </c>
      <c r="AS1301" t="inlineStr">
        <is>
          <t>Yes</t>
        </is>
      </c>
      <c r="AT1301">
        <f>HYPERLINK("http://catalog.hathitrust.org/Record/101391508","HathiTrust Record")</f>
        <v/>
      </c>
      <c r="AU1301">
        <f>HYPERLINK("https://creighton-primo.hosted.exlibrisgroup.com/primo-explore/search?tab=default_tab&amp;search_scope=EVERYTHING&amp;vid=01CRU&amp;lang=en_US&amp;offset=0&amp;query=any,contains,991003816449702656","Catalog Record")</f>
        <v/>
      </c>
      <c r="AV1301">
        <f>HYPERLINK("http://www.worldcat.org/oclc/1370257","WorldCat Record")</f>
        <v/>
      </c>
      <c r="AW1301" t="inlineStr">
        <is>
          <t>10567871752:spa</t>
        </is>
      </c>
      <c r="AX1301" t="inlineStr">
        <is>
          <t>1370257</t>
        </is>
      </c>
      <c r="AY1301" t="inlineStr">
        <is>
          <t>991003816449702656</t>
        </is>
      </c>
      <c r="AZ1301" t="inlineStr">
        <is>
          <t>991003816449702656</t>
        </is>
      </c>
      <c r="BA1301" t="inlineStr">
        <is>
          <t>2261762920002656</t>
        </is>
      </c>
      <c r="BB1301" t="inlineStr">
        <is>
          <t>BOOK</t>
        </is>
      </c>
      <c r="BE1301" t="inlineStr">
        <is>
          <t>32285004493606</t>
        </is>
      </c>
      <c r="BF1301" t="inlineStr">
        <is>
          <t>893718106</t>
        </is>
      </c>
    </row>
    <row r="1302">
      <c r="A1302" t="inlineStr">
        <is>
          <t>No</t>
        </is>
      </c>
      <c r="B1302" t="inlineStr">
        <is>
          <t>CURAL</t>
        </is>
      </c>
      <c r="C1302" t="inlineStr">
        <is>
          <t>SHELVES</t>
        </is>
      </c>
      <c r="D1302" t="inlineStr">
        <is>
          <t>PQ9697.M18 Q537 1979</t>
        </is>
      </c>
      <c r="E1302" t="inlineStr">
        <is>
          <t>0                      PQ 9697000M  18                 Q  537         1979</t>
        </is>
      </c>
      <c r="F1302" t="inlineStr">
        <is>
          <t>Quincas Borba / Joaquín Machado M. de Assis ; traducción Juan García Gayo ; prólogo y notas, Roberto Schwarz ; cronología, Neusa Pinsard Caccese ; [diseño, Juan Fresán].</t>
        </is>
      </c>
      <c r="H1302" t="inlineStr">
        <is>
          <t>No</t>
        </is>
      </c>
      <c r="I1302" t="inlineStr">
        <is>
          <t>1</t>
        </is>
      </c>
      <c r="J1302" t="inlineStr">
        <is>
          <t>No</t>
        </is>
      </c>
      <c r="K1302" t="inlineStr">
        <is>
          <t>No</t>
        </is>
      </c>
      <c r="L1302" t="inlineStr">
        <is>
          <t>0</t>
        </is>
      </c>
      <c r="M1302" t="inlineStr">
        <is>
          <t>Machado de Assis, 1839-1908.</t>
        </is>
      </c>
      <c r="N1302" t="inlineStr">
        <is>
          <t>Caracas : Biblioteca Ayacucho, [1979]</t>
        </is>
      </c>
      <c r="O1302" t="inlineStr">
        <is>
          <t>1979</t>
        </is>
      </c>
      <c r="Q1302" t="inlineStr">
        <is>
          <t>spa</t>
        </is>
      </c>
      <c r="R1302" t="inlineStr">
        <is>
          <t xml:space="preserve">ve </t>
        </is>
      </c>
      <c r="S1302" t="inlineStr">
        <is>
          <t>Biblioteca Ayacucho ; 52</t>
        </is>
      </c>
      <c r="T1302" t="inlineStr">
        <is>
          <t xml:space="preserve">PQ </t>
        </is>
      </c>
      <c r="U1302" t="n">
        <v>1</v>
      </c>
      <c r="V1302" t="n">
        <v>1</v>
      </c>
      <c r="W1302" t="inlineStr">
        <is>
          <t>2001-11-19</t>
        </is>
      </c>
      <c r="X1302" t="inlineStr">
        <is>
          <t>2001-11-19</t>
        </is>
      </c>
      <c r="Y1302" t="inlineStr">
        <is>
          <t>2001-11-19</t>
        </is>
      </c>
      <c r="Z1302" t="inlineStr">
        <is>
          <t>2001-11-19</t>
        </is>
      </c>
      <c r="AA1302" t="n">
        <v>141</v>
      </c>
      <c r="AB1302" t="n">
        <v>102</v>
      </c>
      <c r="AC1302" t="n">
        <v>114</v>
      </c>
      <c r="AD1302" t="n">
        <v>2</v>
      </c>
      <c r="AE1302" t="n">
        <v>2</v>
      </c>
      <c r="AF1302" t="n">
        <v>4</v>
      </c>
      <c r="AG1302" t="n">
        <v>4</v>
      </c>
      <c r="AH1302" t="n">
        <v>0</v>
      </c>
      <c r="AI1302" t="n">
        <v>0</v>
      </c>
      <c r="AJ1302" t="n">
        <v>2</v>
      </c>
      <c r="AK1302" t="n">
        <v>2</v>
      </c>
      <c r="AL1302" t="n">
        <v>2</v>
      </c>
      <c r="AM1302" t="n">
        <v>2</v>
      </c>
      <c r="AN1302" t="n">
        <v>1</v>
      </c>
      <c r="AO1302" t="n">
        <v>1</v>
      </c>
      <c r="AP1302" t="n">
        <v>0</v>
      </c>
      <c r="AQ1302" t="n">
        <v>0</v>
      </c>
      <c r="AR1302" t="inlineStr">
        <is>
          <t>No</t>
        </is>
      </c>
      <c r="AS1302" t="inlineStr">
        <is>
          <t>Yes</t>
        </is>
      </c>
      <c r="AT1302">
        <f>HYPERLINK("http://catalog.hathitrust.org/Record/006719666","HathiTrust Record")</f>
        <v/>
      </c>
      <c r="AU1302">
        <f>HYPERLINK("https://creighton-primo.hosted.exlibrisgroup.com/primo-explore/search?tab=default_tab&amp;search_scope=EVERYTHING&amp;vid=01CRU&amp;lang=en_US&amp;offset=0&amp;query=any,contains,991003681929702656","Catalog Record")</f>
        <v/>
      </c>
      <c r="AV1302">
        <f>HYPERLINK("http://www.worldcat.org/oclc/6655510","WorldCat Record")</f>
        <v/>
      </c>
      <c r="AW1302" t="inlineStr">
        <is>
          <t>596978:spa</t>
        </is>
      </c>
      <c r="AX1302" t="inlineStr">
        <is>
          <t>6655510</t>
        </is>
      </c>
      <c r="AY1302" t="inlineStr">
        <is>
          <t>991003681929702656</t>
        </is>
      </c>
      <c r="AZ1302" t="inlineStr">
        <is>
          <t>991003681929702656</t>
        </is>
      </c>
      <c r="BA1302" t="inlineStr">
        <is>
          <t>2260984210002656</t>
        </is>
      </c>
      <c r="BB1302" t="inlineStr">
        <is>
          <t>BOOK</t>
        </is>
      </c>
      <c r="BD1302" t="inlineStr">
        <is>
          <t>9788466000086</t>
        </is>
      </c>
      <c r="BE1302" t="inlineStr">
        <is>
          <t>32285004412457</t>
        </is>
      </c>
      <c r="BF1302" t="inlineStr">
        <is>
          <t>893775037</t>
        </is>
      </c>
    </row>
    <row r="1303">
      <c r="A1303" t="inlineStr">
        <is>
          <t>No</t>
        </is>
      </c>
      <c r="B1303" t="inlineStr">
        <is>
          <t>CURAL</t>
        </is>
      </c>
      <c r="C1303" t="inlineStr">
        <is>
          <t>SHELVES</t>
        </is>
      </c>
      <c r="D1303" t="inlineStr">
        <is>
          <t>PQ9698.26.I5 D613 1992</t>
        </is>
      </c>
      <c r="E1303" t="inlineStr">
        <is>
          <t>0                      PQ 9698260I  5                  D  613         1992</t>
        </is>
      </c>
      <c r="F1303" t="inlineStr">
        <is>
          <t>Caetana's sweet song / Nélida Piñon ; translated from the Portuguese by Helen Lane.</t>
        </is>
      </c>
      <c r="H1303" t="inlineStr">
        <is>
          <t>No</t>
        </is>
      </c>
      <c r="I1303" t="inlineStr">
        <is>
          <t>1</t>
        </is>
      </c>
      <c r="J1303" t="inlineStr">
        <is>
          <t>No</t>
        </is>
      </c>
      <c r="K1303" t="inlineStr">
        <is>
          <t>No</t>
        </is>
      </c>
      <c r="L1303" t="inlineStr">
        <is>
          <t>0</t>
        </is>
      </c>
      <c r="M1303" t="inlineStr">
        <is>
          <t>Piñon, Nélida.</t>
        </is>
      </c>
      <c r="N1303" t="inlineStr">
        <is>
          <t>New York : Knopf : Distributed by Random House, 1992.</t>
        </is>
      </c>
      <c r="O1303" t="inlineStr">
        <is>
          <t>1992</t>
        </is>
      </c>
      <c r="P1303" t="inlineStr">
        <is>
          <t>1st American ed.</t>
        </is>
      </c>
      <c r="Q1303" t="inlineStr">
        <is>
          <t>eng</t>
        </is>
      </c>
      <c r="R1303" t="inlineStr">
        <is>
          <t>nyu</t>
        </is>
      </c>
      <c r="T1303" t="inlineStr">
        <is>
          <t xml:space="preserve">PQ </t>
        </is>
      </c>
      <c r="U1303" t="n">
        <v>1</v>
      </c>
      <c r="V1303" t="n">
        <v>1</v>
      </c>
      <c r="W1303" t="inlineStr">
        <is>
          <t>1992-07-27</t>
        </is>
      </c>
      <c r="X1303" t="inlineStr">
        <is>
          <t>1992-07-27</t>
        </is>
      </c>
      <c r="Y1303" t="inlineStr">
        <is>
          <t>1992-07-22</t>
        </is>
      </c>
      <c r="Z1303" t="inlineStr">
        <is>
          <t>1992-07-22</t>
        </is>
      </c>
      <c r="AA1303" t="n">
        <v>325</v>
      </c>
      <c r="AB1303" t="n">
        <v>310</v>
      </c>
      <c r="AC1303" t="n">
        <v>317</v>
      </c>
      <c r="AD1303" t="n">
        <v>1</v>
      </c>
      <c r="AE1303" t="n">
        <v>1</v>
      </c>
      <c r="AF1303" t="n">
        <v>9</v>
      </c>
      <c r="AG1303" t="n">
        <v>9</v>
      </c>
      <c r="AH1303" t="n">
        <v>2</v>
      </c>
      <c r="AI1303" t="n">
        <v>2</v>
      </c>
      <c r="AJ1303" t="n">
        <v>2</v>
      </c>
      <c r="AK1303" t="n">
        <v>2</v>
      </c>
      <c r="AL1303" t="n">
        <v>8</v>
      </c>
      <c r="AM1303" t="n">
        <v>8</v>
      </c>
      <c r="AN1303" t="n">
        <v>0</v>
      </c>
      <c r="AO1303" t="n">
        <v>0</v>
      </c>
      <c r="AP1303" t="n">
        <v>0</v>
      </c>
      <c r="AQ1303" t="n">
        <v>0</v>
      </c>
      <c r="AR1303" t="inlineStr">
        <is>
          <t>No</t>
        </is>
      </c>
      <c r="AS1303" t="inlineStr">
        <is>
          <t>Yes</t>
        </is>
      </c>
      <c r="AT1303">
        <f>HYPERLINK("http://catalog.hathitrust.org/Record/002566439","HathiTrust Record")</f>
        <v/>
      </c>
      <c r="AU1303">
        <f>HYPERLINK("https://creighton-primo.hosted.exlibrisgroup.com/primo-explore/search?tab=default_tab&amp;search_scope=EVERYTHING&amp;vid=01CRU&amp;lang=en_US&amp;offset=0&amp;query=any,contains,991001918619702656","Catalog Record")</f>
        <v/>
      </c>
      <c r="AV1303">
        <f>HYPERLINK("http://www.worldcat.org/oclc/24218359","WorldCat Record")</f>
        <v/>
      </c>
      <c r="AW1303" t="inlineStr">
        <is>
          <t>2287099764:eng</t>
        </is>
      </c>
      <c r="AX1303" t="inlineStr">
        <is>
          <t>24218359</t>
        </is>
      </c>
      <c r="AY1303" t="inlineStr">
        <is>
          <t>991001918619702656</t>
        </is>
      </c>
      <c r="AZ1303" t="inlineStr">
        <is>
          <t>991001918619702656</t>
        </is>
      </c>
      <c r="BA1303" t="inlineStr">
        <is>
          <t>2271759880002656</t>
        </is>
      </c>
      <c r="BB1303" t="inlineStr">
        <is>
          <t>BOOK</t>
        </is>
      </c>
      <c r="BD1303" t="inlineStr">
        <is>
          <t>9780394589978</t>
        </is>
      </c>
      <c r="BE1303" t="inlineStr">
        <is>
          <t>32285001159820</t>
        </is>
      </c>
      <c r="BF1303" t="inlineStr">
        <is>
          <t>893322357</t>
        </is>
      </c>
    </row>
    <row r="1304">
      <c r="A1304" t="inlineStr">
        <is>
          <t>No</t>
        </is>
      </c>
      <c r="B1304" t="inlineStr">
        <is>
          <t>CURAL</t>
        </is>
      </c>
      <c r="C1304" t="inlineStr">
        <is>
          <t>SHELVES</t>
        </is>
      </c>
      <c r="D1304" t="inlineStr">
        <is>
          <t>PQ9939.M66 N413 2001</t>
        </is>
      </c>
      <c r="E1304" t="inlineStr">
        <is>
          <t>0                      PQ 9939000M  66                 N  413         2001</t>
        </is>
      </c>
      <c r="F1304" t="inlineStr">
        <is>
          <t>Neighbours : the story of a murder / Lília Momplé ; translated by Richard Bartlett and Isaura de Oliveira.</t>
        </is>
      </c>
      <c r="H1304" t="inlineStr">
        <is>
          <t>No</t>
        </is>
      </c>
      <c r="I1304" t="inlineStr">
        <is>
          <t>1</t>
        </is>
      </c>
      <c r="J1304" t="inlineStr">
        <is>
          <t>No</t>
        </is>
      </c>
      <c r="K1304" t="inlineStr">
        <is>
          <t>No</t>
        </is>
      </c>
      <c r="L1304" t="inlineStr">
        <is>
          <t>0</t>
        </is>
      </c>
      <c r="M1304" t="inlineStr">
        <is>
          <t>Momplé, Lilia, 1935-</t>
        </is>
      </c>
      <c r="N1304" t="inlineStr">
        <is>
          <t>Oxford : Heinemann, 2001.</t>
        </is>
      </c>
      <c r="O1304" t="inlineStr">
        <is>
          <t>2001</t>
        </is>
      </c>
      <c r="Q1304" t="inlineStr">
        <is>
          <t>eng</t>
        </is>
      </c>
      <c r="R1304" t="inlineStr">
        <is>
          <t>enk</t>
        </is>
      </c>
      <c r="S1304" t="inlineStr">
        <is>
          <t>African writers series</t>
        </is>
      </c>
      <c r="T1304" t="inlineStr">
        <is>
          <t xml:space="preserve">PQ </t>
        </is>
      </c>
      <c r="U1304" t="n">
        <v>1</v>
      </c>
      <c r="V1304" t="n">
        <v>1</v>
      </c>
      <c r="W1304" t="inlineStr">
        <is>
          <t>2003-04-09</t>
        </is>
      </c>
      <c r="X1304" t="inlineStr">
        <is>
          <t>2003-04-09</t>
        </is>
      </c>
      <c r="Y1304" t="inlineStr">
        <is>
          <t>2003-04-09</t>
        </is>
      </c>
      <c r="Z1304" t="inlineStr">
        <is>
          <t>2003-04-09</t>
        </is>
      </c>
      <c r="AA1304" t="n">
        <v>153</v>
      </c>
      <c r="AB1304" t="n">
        <v>85</v>
      </c>
      <c r="AC1304" t="n">
        <v>132</v>
      </c>
      <c r="AD1304" t="n">
        <v>1</v>
      </c>
      <c r="AE1304" t="n">
        <v>1</v>
      </c>
      <c r="AF1304" t="n">
        <v>2</v>
      </c>
      <c r="AG1304" t="n">
        <v>4</v>
      </c>
      <c r="AH1304" t="n">
        <v>0</v>
      </c>
      <c r="AI1304" t="n">
        <v>2</v>
      </c>
      <c r="AJ1304" t="n">
        <v>2</v>
      </c>
      <c r="AK1304" t="n">
        <v>2</v>
      </c>
      <c r="AL1304" t="n">
        <v>1</v>
      </c>
      <c r="AM1304" t="n">
        <v>1</v>
      </c>
      <c r="AN1304" t="n">
        <v>0</v>
      </c>
      <c r="AO1304" t="n">
        <v>0</v>
      </c>
      <c r="AP1304" t="n">
        <v>0</v>
      </c>
      <c r="AQ1304" t="n">
        <v>0</v>
      </c>
      <c r="AR1304" t="inlineStr">
        <is>
          <t>No</t>
        </is>
      </c>
      <c r="AS1304" t="inlineStr">
        <is>
          <t>Yes</t>
        </is>
      </c>
      <c r="AT1304">
        <f>HYPERLINK("http://catalog.hathitrust.org/Record/004327894","HathiTrust Record")</f>
        <v/>
      </c>
      <c r="AU1304">
        <f>HYPERLINK("https://creighton-primo.hosted.exlibrisgroup.com/primo-explore/search?tab=default_tab&amp;search_scope=EVERYTHING&amp;vid=01CRU&amp;lang=en_US&amp;offset=0&amp;query=any,contains,991004017999702656","Catalog Record")</f>
        <v/>
      </c>
      <c r="AV1304">
        <f>HYPERLINK("http://www.worldcat.org/oclc/48110567","WorldCat Record")</f>
        <v/>
      </c>
      <c r="AW1304" t="inlineStr">
        <is>
          <t>6162159:eng</t>
        </is>
      </c>
      <c r="AX1304" t="inlineStr">
        <is>
          <t>48110567</t>
        </is>
      </c>
      <c r="AY1304" t="inlineStr">
        <is>
          <t>991004017999702656</t>
        </is>
      </c>
      <c r="AZ1304" t="inlineStr">
        <is>
          <t>991004017999702656</t>
        </is>
      </c>
      <c r="BA1304" t="inlineStr">
        <is>
          <t>2259252610002656</t>
        </is>
      </c>
      <c r="BB1304" t="inlineStr">
        <is>
          <t>BOOK</t>
        </is>
      </c>
      <c r="BD1304" t="inlineStr">
        <is>
          <t>9780435912093</t>
        </is>
      </c>
      <c r="BE1304" t="inlineStr">
        <is>
          <t>32285004740915</t>
        </is>
      </c>
      <c r="BF1304" t="inlineStr">
        <is>
          <t>893324829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